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nel\ownCloud\ICCEE temporär\WP3_Tools_incl_Translation_20210426\Tool#2_LCA\"/>
    </mc:Choice>
  </mc:AlternateContent>
  <workbookProtection workbookAlgorithmName="SHA-512" workbookHashValue="7eE8ODmoGmTA9PyXIvj5JglP3QGd7quvVm9TlEtd8AHIev8yYOH7laSpnU9gTKPz/oiLoC3IAn+Id5UV6/WslQ==" workbookSaltValue="epPjp2VT5znUf/7w9Se2ug==" workbookSpinCount="100000" lockStructure="1"/>
  <bookViews>
    <workbookView xWindow="0" yWindow="0" windowWidth="19200" windowHeight="8250"/>
  </bookViews>
  <sheets>
    <sheet name="Info" sheetId="8" r:id="rId1"/>
    <sheet name="Input" sheetId="15" r:id="rId2"/>
    <sheet name="What if" sheetId="32" r:id="rId3"/>
    <sheet name="Results" sheetId="17" r:id="rId4"/>
    <sheet name="Hidden_Database" sheetId="29" state="veryHidden" r:id="rId5"/>
    <sheet name="Hidden_Calculation" sheetId="25" state="hidden" r:id="rId6"/>
    <sheet name="Hidden_Lists" sheetId="12" state="hidden" r:id="rId7"/>
    <sheet name="Hidden_Translations" sheetId="13" state="hidden" r:id="rId8"/>
    <sheet name="Hidden_Versions" sheetId="11" state="hidden" r:id="rId9"/>
  </sheets>
  <definedNames>
    <definedName name="_xlnm.Print_Area" localSheetId="5">Hidden_Calculation!$A$1:$FC$119</definedName>
    <definedName name="_xlnm.Print_Area" localSheetId="4">Hidden_Database!$A$1:$J$75</definedName>
    <definedName name="_xlnm.Print_Area" localSheetId="7">Hidden_Translations!$A$1:$K$364</definedName>
    <definedName name="_xlnm.Print_Area" localSheetId="0">Info!$A$1:$J$30</definedName>
    <definedName name="_xlnm.Print_Area" localSheetId="1">Input!$B$1:$H$280</definedName>
    <definedName name="_xlnm.Print_Area" localSheetId="3">Results!$B$1:$H$184</definedName>
    <definedName name="_xlnm.Print_Area" localSheetId="2">'What if'!$B$1:$I$141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5" l="1"/>
  <c r="F89" i="15" l="1"/>
  <c r="D153" i="12"/>
  <c r="F153" i="12"/>
  <c r="G64" i="15" l="1"/>
  <c r="D103" i="13" l="1"/>
  <c r="C8" i="13" l="1"/>
  <c r="C19" i="12" s="1"/>
  <c r="L136" i="12"/>
  <c r="K136" i="12"/>
  <c r="J136" i="12"/>
  <c r="I136" i="12"/>
  <c r="H136" i="12"/>
  <c r="G136" i="12"/>
  <c r="F136" i="12"/>
  <c r="E136" i="12"/>
  <c r="D136" i="12"/>
  <c r="C136" i="12"/>
  <c r="F120" i="12"/>
  <c r="D120" i="12"/>
  <c r="F119" i="12"/>
  <c r="D119" i="12"/>
  <c r="F118" i="12"/>
  <c r="D118" i="12"/>
  <c r="F117" i="12"/>
  <c r="D117" i="12"/>
  <c r="H116" i="12"/>
  <c r="H117" i="12" s="1"/>
  <c r="H118" i="12" s="1"/>
  <c r="H119" i="12" s="1"/>
  <c r="F116" i="12"/>
  <c r="D116" i="12"/>
  <c r="D115" i="12"/>
  <c r="D114" i="12"/>
  <c r="D113" i="12"/>
  <c r="D112" i="12"/>
  <c r="D111" i="12"/>
  <c r="D110" i="12"/>
  <c r="D109" i="12"/>
  <c r="D108" i="12"/>
  <c r="D107" i="12"/>
  <c r="D106" i="12"/>
  <c r="D105" i="12"/>
  <c r="D104" i="12"/>
  <c r="D103" i="12"/>
  <c r="D102" i="12"/>
  <c r="D101" i="12"/>
  <c r="D100" i="12"/>
  <c r="D99" i="12"/>
  <c r="D98" i="12"/>
  <c r="D97" i="12"/>
  <c r="D96" i="12"/>
  <c r="H95" i="12"/>
  <c r="D95" i="12"/>
  <c r="H94" i="12"/>
  <c r="D94" i="12"/>
  <c r="H93" i="12"/>
  <c r="D93" i="12"/>
  <c r="H92" i="12"/>
  <c r="D92" i="12"/>
  <c r="E59" i="12"/>
  <c r="D59" i="12"/>
  <c r="E56" i="12"/>
  <c r="D56" i="12"/>
  <c r="F49" i="12"/>
  <c r="E49" i="12"/>
  <c r="C23" i="12"/>
  <c r="EE102" i="25"/>
  <c r="DQ102" i="25"/>
  <c r="DP102" i="25"/>
  <c r="DO102" i="25"/>
  <c r="DN102" i="25"/>
  <c r="DC102" i="25"/>
  <c r="CO102" i="25"/>
  <c r="CN102" i="25"/>
  <c r="CM102" i="25"/>
  <c r="CL102" i="25"/>
  <c r="CA102" i="25"/>
  <c r="BZ102" i="25"/>
  <c r="BY102" i="25"/>
  <c r="BN102" i="25"/>
  <c r="BM102" i="25"/>
  <c r="BL102" i="25"/>
  <c r="BC102" i="25"/>
  <c r="BB102" i="25"/>
  <c r="BA102" i="25"/>
  <c r="AP102" i="25"/>
  <c r="AO102" i="25"/>
  <c r="AN102" i="25"/>
  <c r="AM102" i="25"/>
  <c r="AB102" i="25"/>
  <c r="N102" i="25"/>
  <c r="M102" i="25"/>
  <c r="L102" i="25"/>
  <c r="K102" i="25"/>
  <c r="BN101" i="25"/>
  <c r="BM101" i="25"/>
  <c r="BL101" i="25"/>
  <c r="EE100" i="25"/>
  <c r="ED100" i="25"/>
  <c r="EC100" i="25"/>
  <c r="EB100" i="25"/>
  <c r="DC100" i="25"/>
  <c r="DB100" i="25"/>
  <c r="DA100" i="25"/>
  <c r="CZ100" i="25"/>
  <c r="CA100" i="25"/>
  <c r="BZ100" i="25"/>
  <c r="BY100" i="25"/>
  <c r="BN100" i="25"/>
  <c r="BM100" i="25"/>
  <c r="BL100" i="25"/>
  <c r="BC100" i="25"/>
  <c r="BB100" i="25"/>
  <c r="BA100" i="25"/>
  <c r="AB100" i="25"/>
  <c r="AA100" i="25"/>
  <c r="Z100" i="25"/>
  <c r="Y100" i="25"/>
  <c r="DQ99" i="25"/>
  <c r="DP99" i="25"/>
  <c r="DO99" i="25"/>
  <c r="DN99" i="25"/>
  <c r="CO99" i="25"/>
  <c r="CN99" i="25"/>
  <c r="CM99" i="25"/>
  <c r="CL99" i="25"/>
  <c r="BN99" i="25"/>
  <c r="BM99" i="25"/>
  <c r="BL99" i="25"/>
  <c r="AP99" i="25"/>
  <c r="AO99" i="25"/>
  <c r="AN99" i="25"/>
  <c r="AM99" i="25"/>
  <c r="N99" i="25"/>
  <c r="M99" i="25"/>
  <c r="L99" i="25"/>
  <c r="K99" i="25"/>
  <c r="EE97" i="25"/>
  <c r="ED97" i="25"/>
  <c r="EC97" i="25"/>
  <c r="EB97" i="25"/>
  <c r="DC97" i="25"/>
  <c r="DB97" i="25"/>
  <c r="DA97" i="25"/>
  <c r="CZ97" i="25"/>
  <c r="CA97" i="25"/>
  <c r="BZ97" i="25"/>
  <c r="BY97" i="25"/>
  <c r="BC97" i="25"/>
  <c r="BB97" i="25"/>
  <c r="BA97" i="25"/>
  <c r="AB97" i="25"/>
  <c r="AA97" i="25"/>
  <c r="Z97" i="25"/>
  <c r="Y97" i="25"/>
  <c r="EE96" i="25"/>
  <c r="ED96" i="25"/>
  <c r="EC96" i="25"/>
  <c r="EB96" i="25"/>
  <c r="DQ96" i="25"/>
  <c r="DP96" i="25"/>
  <c r="DO96" i="25"/>
  <c r="DN96" i="25"/>
  <c r="DC96" i="25"/>
  <c r="DB96" i="25"/>
  <c r="DA96" i="25"/>
  <c r="CZ96" i="25"/>
  <c r="CO96" i="25"/>
  <c r="CN96" i="25"/>
  <c r="CM96" i="25"/>
  <c r="CL96" i="25"/>
  <c r="CA96" i="25"/>
  <c r="BZ96" i="25"/>
  <c r="BY96" i="25"/>
  <c r="BN96" i="25"/>
  <c r="BM96" i="25"/>
  <c r="BL96" i="25"/>
  <c r="BC96" i="25"/>
  <c r="BB96" i="25"/>
  <c r="BA96" i="25"/>
  <c r="AP96" i="25"/>
  <c r="AO96" i="25"/>
  <c r="AN96" i="25"/>
  <c r="AM96" i="25"/>
  <c r="AB96" i="25"/>
  <c r="N96" i="25"/>
  <c r="M96" i="25"/>
  <c r="L96" i="25"/>
  <c r="K96" i="25"/>
  <c r="EE95" i="25"/>
  <c r="ED95" i="25"/>
  <c r="EC95" i="25"/>
  <c r="EB95" i="25"/>
  <c r="DQ95" i="25"/>
  <c r="DP95" i="25"/>
  <c r="DO95" i="25"/>
  <c r="DN95" i="25"/>
  <c r="DC95" i="25"/>
  <c r="DB95" i="25"/>
  <c r="DA95" i="25"/>
  <c r="CZ95" i="25"/>
  <c r="CO95" i="25"/>
  <c r="CN95" i="25"/>
  <c r="CM95" i="25"/>
  <c r="CL95" i="25"/>
  <c r="CA95" i="25"/>
  <c r="BZ95" i="25"/>
  <c r="BY95" i="25"/>
  <c r="BN95" i="25"/>
  <c r="BM95" i="25"/>
  <c r="BL95" i="25"/>
  <c r="BC95" i="25"/>
  <c r="BB95" i="25"/>
  <c r="BA95" i="25"/>
  <c r="AP95" i="25"/>
  <c r="AO95" i="25"/>
  <c r="AN95" i="25"/>
  <c r="AM95" i="25"/>
  <c r="AB95" i="25"/>
  <c r="N95" i="25"/>
  <c r="M95" i="25"/>
  <c r="L95" i="25"/>
  <c r="K95" i="25"/>
  <c r="DS88" i="25"/>
  <c r="DU86" i="25"/>
  <c r="CS86" i="25"/>
  <c r="R86" i="25"/>
  <c r="DU85" i="25"/>
  <c r="CS85" i="25"/>
  <c r="R85" i="25"/>
  <c r="DU84" i="25"/>
  <c r="CS84" i="25"/>
  <c r="R84" i="25"/>
  <c r="DU83" i="25"/>
  <c r="CS83" i="25"/>
  <c r="R83" i="25"/>
  <c r="DU80" i="25"/>
  <c r="DT80" i="25"/>
  <c r="CS80" i="25"/>
  <c r="CR80" i="25"/>
  <c r="R80" i="25"/>
  <c r="DU79" i="25"/>
  <c r="DT79" i="25"/>
  <c r="CS79" i="25"/>
  <c r="CR79" i="25"/>
  <c r="R79" i="25"/>
  <c r="Q79" i="25"/>
  <c r="DU78" i="25"/>
  <c r="DT78" i="25"/>
  <c r="CS78" i="25"/>
  <c r="CR78" i="25"/>
  <c r="R78" i="25"/>
  <c r="Q78" i="25"/>
  <c r="DU77" i="25"/>
  <c r="DT77" i="25"/>
  <c r="CS77" i="25"/>
  <c r="CR77" i="25"/>
  <c r="R77" i="25"/>
  <c r="Q77" i="25"/>
  <c r="DG71" i="25"/>
  <c r="DF71" i="25"/>
  <c r="CE71" i="25"/>
  <c r="CD71" i="25"/>
  <c r="AF71" i="25"/>
  <c r="AE71" i="25"/>
  <c r="D71" i="25"/>
  <c r="C71" i="25"/>
  <c r="DG70" i="25"/>
  <c r="DF70" i="25"/>
  <c r="CE70" i="25"/>
  <c r="CD70" i="25"/>
  <c r="AF70" i="25"/>
  <c r="AE70" i="25"/>
  <c r="D70" i="25"/>
  <c r="C70" i="25"/>
  <c r="DG69" i="25"/>
  <c r="DF69" i="25"/>
  <c r="CE69" i="25"/>
  <c r="CD69" i="25"/>
  <c r="AF69" i="25"/>
  <c r="AE69" i="25"/>
  <c r="D69" i="25"/>
  <c r="C69" i="25"/>
  <c r="DG68" i="25"/>
  <c r="DF68" i="25"/>
  <c r="CE68" i="25"/>
  <c r="CD68" i="25"/>
  <c r="AF68" i="25"/>
  <c r="AE68" i="25"/>
  <c r="D68" i="25"/>
  <c r="C68" i="25"/>
  <c r="DU67" i="25"/>
  <c r="DT67" i="25"/>
  <c r="DG67" i="25"/>
  <c r="DF67" i="25"/>
  <c r="CS67" i="25"/>
  <c r="CR67" i="25"/>
  <c r="CE67" i="25"/>
  <c r="CD67" i="25"/>
  <c r="BR67" i="25"/>
  <c r="BQ67" i="25"/>
  <c r="AT67" i="25"/>
  <c r="AS67" i="25"/>
  <c r="AF67" i="25"/>
  <c r="AE67" i="25"/>
  <c r="R67" i="25"/>
  <c r="Q67" i="25"/>
  <c r="D67" i="25"/>
  <c r="C67" i="25"/>
  <c r="DG55" i="25"/>
  <c r="CE55" i="25"/>
  <c r="AF55" i="25"/>
  <c r="D55" i="25"/>
  <c r="DU50" i="25"/>
  <c r="DT50" i="25"/>
  <c r="CS50" i="25"/>
  <c r="CR50" i="25"/>
  <c r="BR50" i="25"/>
  <c r="BQ50" i="25"/>
  <c r="AT50" i="25"/>
  <c r="AS50" i="25"/>
  <c r="R50" i="25"/>
  <c r="Q50" i="25"/>
  <c r="DT49" i="25"/>
  <c r="CS49" i="25"/>
  <c r="CR49" i="25"/>
  <c r="BR49" i="25"/>
  <c r="BQ49" i="25"/>
  <c r="AT49" i="25"/>
  <c r="AS49" i="25"/>
  <c r="R49" i="25"/>
  <c r="Q49" i="25"/>
  <c r="DU48" i="25"/>
  <c r="CS48" i="25"/>
  <c r="BR48" i="25"/>
  <c r="AT48" i="25"/>
  <c r="R48" i="25"/>
  <c r="DU43" i="25"/>
  <c r="DG43" i="25"/>
  <c r="CS43" i="25"/>
  <c r="CE43" i="25"/>
  <c r="BR43" i="25"/>
  <c r="BG43" i="25"/>
  <c r="AT43" i="25"/>
  <c r="AF43" i="25"/>
  <c r="R43" i="25"/>
  <c r="D43" i="25"/>
  <c r="DH38" i="25"/>
  <c r="DG38" i="25"/>
  <c r="DF38" i="25"/>
  <c r="CF38" i="25"/>
  <c r="CE38" i="25"/>
  <c r="CD38" i="25"/>
  <c r="BG38" i="25"/>
  <c r="BF38" i="25"/>
  <c r="AG38" i="25"/>
  <c r="AF38" i="25"/>
  <c r="AE38" i="25"/>
  <c r="E38" i="25"/>
  <c r="D38" i="25"/>
  <c r="C38" i="25"/>
  <c r="DI37" i="25"/>
  <c r="DH37" i="25"/>
  <c r="DG37" i="25"/>
  <c r="DF37" i="25"/>
  <c r="CG37" i="25"/>
  <c r="CF37" i="25"/>
  <c r="CE37" i="25"/>
  <c r="CD37" i="25"/>
  <c r="BH37" i="25"/>
  <c r="BG37" i="25"/>
  <c r="BF37" i="25"/>
  <c r="AH37" i="25"/>
  <c r="AG37" i="25"/>
  <c r="AF37" i="25"/>
  <c r="AE37" i="25"/>
  <c r="F37" i="25"/>
  <c r="E37" i="25"/>
  <c r="D37" i="25"/>
  <c r="C37" i="25"/>
  <c r="DI36" i="25"/>
  <c r="DH36" i="25"/>
  <c r="DG36" i="25"/>
  <c r="DF36" i="25"/>
  <c r="CG36" i="25"/>
  <c r="CF36" i="25"/>
  <c r="CE36" i="25"/>
  <c r="CD36" i="25"/>
  <c r="BH36" i="25"/>
  <c r="BG36" i="25"/>
  <c r="BF36" i="25"/>
  <c r="AH36" i="25"/>
  <c r="AG36" i="25"/>
  <c r="AF36" i="25"/>
  <c r="AE36" i="25"/>
  <c r="F36" i="25"/>
  <c r="E36" i="25"/>
  <c r="D36" i="25"/>
  <c r="C36" i="25"/>
  <c r="DI35" i="25"/>
  <c r="DH35" i="25"/>
  <c r="DG35" i="25"/>
  <c r="DF35" i="25"/>
  <c r="CG35" i="25"/>
  <c r="CF35" i="25"/>
  <c r="CE35" i="25"/>
  <c r="CD35" i="25"/>
  <c r="BH35" i="25"/>
  <c r="BG35" i="25"/>
  <c r="BF35" i="25"/>
  <c r="AH35" i="25"/>
  <c r="AG35" i="25"/>
  <c r="AF35" i="25"/>
  <c r="AE35" i="25"/>
  <c r="F35" i="25"/>
  <c r="E35" i="25"/>
  <c r="D35" i="25"/>
  <c r="C35" i="25"/>
  <c r="DI34" i="25"/>
  <c r="DH34" i="25"/>
  <c r="DG34" i="25"/>
  <c r="DF34" i="25"/>
  <c r="CG34" i="25"/>
  <c r="CF34" i="25"/>
  <c r="CE34" i="25"/>
  <c r="CD34" i="25"/>
  <c r="BH34" i="25"/>
  <c r="BG34" i="25"/>
  <c r="BF34" i="25"/>
  <c r="AH34" i="25"/>
  <c r="AG34" i="25"/>
  <c r="AF34" i="25"/>
  <c r="AE34" i="25"/>
  <c r="F34" i="25"/>
  <c r="E34" i="25"/>
  <c r="D34" i="25"/>
  <c r="C34" i="25"/>
  <c r="R29" i="25"/>
  <c r="Q29" i="25"/>
  <c r="R28" i="25"/>
  <c r="Q28" i="25"/>
  <c r="R27" i="25"/>
  <c r="Q27" i="25"/>
  <c r="R22" i="25"/>
  <c r="Q22" i="25"/>
  <c r="R21" i="25"/>
  <c r="Q21" i="25"/>
  <c r="S19" i="25"/>
  <c r="S26" i="25" s="1"/>
  <c r="DT16" i="25"/>
  <c r="CR16" i="25"/>
  <c r="BQ16" i="25"/>
  <c r="AS16" i="25"/>
  <c r="Q16" i="25"/>
  <c r="DT15" i="25"/>
  <c r="CR15" i="25"/>
  <c r="BQ15" i="25"/>
  <c r="AS15" i="25"/>
  <c r="Q15" i="25"/>
  <c r="DT14" i="25"/>
  <c r="CR14" i="25"/>
  <c r="BQ14" i="25"/>
  <c r="AS14" i="25"/>
  <c r="Q14" i="25"/>
  <c r="DF7" i="25"/>
  <c r="CD7" i="25"/>
  <c r="AE7" i="25"/>
  <c r="C7" i="25"/>
  <c r="J75" i="29"/>
  <c r="J74" i="29"/>
  <c r="J73" i="29"/>
  <c r="J72" i="29"/>
  <c r="C71" i="29"/>
  <c r="C67" i="29"/>
  <c r="J66" i="29"/>
  <c r="C65" i="29"/>
  <c r="J64" i="29"/>
  <c r="J63" i="29"/>
  <c r="J62" i="29"/>
  <c r="J61" i="29"/>
  <c r="J60" i="29"/>
  <c r="I60" i="29"/>
  <c r="J59" i="29"/>
  <c r="J58" i="29"/>
  <c r="I58" i="29"/>
  <c r="J56" i="29"/>
  <c r="J55" i="29"/>
  <c r="C54" i="29"/>
  <c r="E42" i="29"/>
  <c r="C42" i="29"/>
  <c r="C38" i="29"/>
  <c r="C25" i="29"/>
  <c r="H24" i="29"/>
  <c r="G24" i="29"/>
  <c r="F24" i="29"/>
  <c r="C24" i="29"/>
  <c r="H21" i="29"/>
  <c r="G21" i="29"/>
  <c r="F21" i="29"/>
  <c r="C15" i="29"/>
  <c r="C13" i="29"/>
  <c r="C11" i="29"/>
  <c r="B140" i="32"/>
  <c r="B139" i="32"/>
  <c r="B138" i="32"/>
  <c r="B137" i="32"/>
  <c r="F109" i="32"/>
  <c r="F101" i="32"/>
  <c r="F99" i="32"/>
  <c r="F107" i="32" s="1"/>
  <c r="F97" i="32"/>
  <c r="F105" i="32" s="1"/>
  <c r="F83" i="32"/>
  <c r="F91" i="32" s="1"/>
  <c r="F81" i="32"/>
  <c r="F89" i="32" s="1"/>
  <c r="F79" i="32"/>
  <c r="F87" i="32" s="1"/>
  <c r="F90" i="15"/>
  <c r="F38" i="25"/>
  <c r="AE58" i="25" l="1"/>
  <c r="DV67" i="25"/>
  <c r="CD61" i="25"/>
  <c r="C62" i="25"/>
  <c r="H96" i="12"/>
  <c r="H97" i="12" s="1"/>
  <c r="H98" i="12" s="1"/>
  <c r="H99" i="12" s="1"/>
  <c r="H100" i="12" s="1"/>
  <c r="H101" i="12" s="1"/>
  <c r="H102" i="12" s="1"/>
  <c r="H103" i="12" s="1"/>
  <c r="H104" i="12" s="1"/>
  <c r="H105" i="12" s="1"/>
  <c r="H106" i="12" s="1"/>
  <c r="H107" i="12" s="1"/>
  <c r="H108" i="12" s="1"/>
  <c r="H109" i="12" s="1"/>
  <c r="H110" i="12" s="1"/>
  <c r="H111" i="12" s="1"/>
  <c r="H112" i="12" s="1"/>
  <c r="H113" i="12" s="1"/>
  <c r="B46" i="15"/>
  <c r="C31" i="12"/>
  <c r="C59" i="25"/>
  <c r="DV78" i="25"/>
  <c r="E100" i="15"/>
  <c r="B100" i="15"/>
  <c r="B147" i="15" s="1"/>
  <c r="B175" i="15" s="1"/>
  <c r="B215" i="15" s="1"/>
  <c r="B263" i="15" s="1"/>
  <c r="AP43" i="25"/>
  <c r="AP98" i="25" s="1"/>
  <c r="CD8" i="25"/>
  <c r="CR12" i="25" s="1"/>
  <c r="B29" i="8"/>
  <c r="C29" i="8"/>
  <c r="C30" i="8"/>
  <c r="C10" i="8"/>
  <c r="B8" i="8"/>
  <c r="DF60" i="25"/>
  <c r="CD59" i="25"/>
  <c r="AE59" i="25"/>
  <c r="AE62" i="25"/>
  <c r="DF62" i="25"/>
  <c r="AE61" i="25"/>
  <c r="DF61" i="25"/>
  <c r="CD60" i="25"/>
  <c r="C61" i="25"/>
  <c r="DF59" i="25"/>
  <c r="AE60" i="25"/>
  <c r="C129" i="12"/>
  <c r="B124" i="12"/>
  <c r="B134" i="12" s="1"/>
  <c r="C65" i="12"/>
  <c r="C52" i="12"/>
  <c r="E57" i="12"/>
  <c r="E58" i="12" s="1"/>
  <c r="F54" i="12"/>
  <c r="D48" i="12"/>
  <c r="E131" i="12" s="1"/>
  <c r="D44" i="12"/>
  <c r="D41" i="12"/>
  <c r="D130" i="12" s="1"/>
  <c r="D36" i="12"/>
  <c r="C42" i="12"/>
  <c r="C157" i="12" s="1"/>
  <c r="F124" i="12" s="1"/>
  <c r="I134" i="12" s="1"/>
  <c r="E35" i="12"/>
  <c r="C20" i="12"/>
  <c r="B22" i="12"/>
  <c r="B8" i="12"/>
  <c r="C133" i="12"/>
  <c r="G64" i="12"/>
  <c r="G73" i="12" s="1"/>
  <c r="D58" i="12"/>
  <c r="D43" i="12"/>
  <c r="C39" i="12"/>
  <c r="C154" i="12" s="1"/>
  <c r="D124" i="12" s="1"/>
  <c r="E134" i="12" s="1"/>
  <c r="AG67" i="25"/>
  <c r="D37" i="12"/>
  <c r="C125" i="12" s="1"/>
  <c r="C135" i="12" s="1"/>
  <c r="C22" i="12"/>
  <c r="C62" i="12"/>
  <c r="E54" i="12"/>
  <c r="D47" i="12"/>
  <c r="E130" i="12" s="1"/>
  <c r="D39" i="12"/>
  <c r="D125" i="12" s="1"/>
  <c r="E135" i="12" s="1"/>
  <c r="C49" i="12"/>
  <c r="D35" i="12"/>
  <c r="C29" i="12"/>
  <c r="B19" i="12"/>
  <c r="B6" i="12"/>
  <c r="D40" i="12"/>
  <c r="D126" i="12" s="1"/>
  <c r="F135" i="12" s="1"/>
  <c r="F35" i="12"/>
  <c r="C32" i="12"/>
  <c r="C8" i="12"/>
  <c r="B2" i="12"/>
  <c r="C123" i="12"/>
  <c r="C71" i="12"/>
  <c r="E64" i="12"/>
  <c r="E73" i="12" s="1"/>
  <c r="D60" i="12"/>
  <c r="D57" i="12"/>
  <c r="D54" i="12"/>
  <c r="D46" i="12"/>
  <c r="E126" i="12" s="1"/>
  <c r="H135" i="12" s="1"/>
  <c r="D42" i="12"/>
  <c r="F125" i="12" s="1"/>
  <c r="I135" i="12" s="1"/>
  <c r="D38" i="12"/>
  <c r="C126" i="12" s="1"/>
  <c r="D135" i="12" s="1"/>
  <c r="C45" i="12"/>
  <c r="C156" i="12" s="1"/>
  <c r="E124" i="12" s="1"/>
  <c r="G134" i="12" s="1"/>
  <c r="C36" i="12"/>
  <c r="C153" i="12" s="1"/>
  <c r="C124" i="12" s="1"/>
  <c r="C35" i="12"/>
  <c r="D22" i="12"/>
  <c r="B35" i="12"/>
  <c r="B10" i="12"/>
  <c r="B4" i="12"/>
  <c r="B135" i="12"/>
  <c r="D65" i="12"/>
  <c r="C64" i="12"/>
  <c r="C73" i="12" s="1"/>
  <c r="C59" i="12"/>
  <c r="C56" i="12"/>
  <c r="C54" i="12"/>
  <c r="D45" i="12"/>
  <c r="E125" i="12" s="1"/>
  <c r="G135" i="12" s="1"/>
  <c r="C43" i="12"/>
  <c r="C155" i="12" s="1"/>
  <c r="G124" i="12" s="1"/>
  <c r="J134" i="12" s="1"/>
  <c r="B29" i="12"/>
  <c r="J10" i="29"/>
  <c r="E12" i="29"/>
  <c r="F10" i="29"/>
  <c r="H10" i="29"/>
  <c r="I10" i="29"/>
  <c r="F277" i="15"/>
  <c r="DV79" i="25" s="1"/>
  <c r="C68" i="29"/>
  <c r="C61" i="29"/>
  <c r="B126" i="32" s="1"/>
  <c r="C56" i="29"/>
  <c r="C51" i="29"/>
  <c r="C47" i="29"/>
  <c r="C43" i="29"/>
  <c r="C37" i="29"/>
  <c r="C33" i="29"/>
  <c r="C29" i="29"/>
  <c r="C64" i="29"/>
  <c r="C60" i="29"/>
  <c r="B125" i="32" s="1"/>
  <c r="C55" i="29"/>
  <c r="C50" i="29"/>
  <c r="C46" i="29"/>
  <c r="C41" i="29"/>
  <c r="C36" i="29"/>
  <c r="C32" i="29"/>
  <c r="C28" i="29"/>
  <c r="C70" i="29"/>
  <c r="C63" i="29"/>
  <c r="B128" i="32" s="1"/>
  <c r="C59" i="29"/>
  <c r="C53" i="29"/>
  <c r="Q80" i="25" s="1"/>
  <c r="C49" i="29"/>
  <c r="C45" i="29"/>
  <c r="C40" i="29"/>
  <c r="C35" i="29"/>
  <c r="C31" i="29"/>
  <c r="C27" i="29"/>
  <c r="C69" i="29"/>
  <c r="C62" i="29"/>
  <c r="B127" i="32" s="1"/>
  <c r="C58" i="29"/>
  <c r="B122" i="32" s="1"/>
  <c r="C52" i="29"/>
  <c r="C48" i="29"/>
  <c r="C44" i="29"/>
  <c r="C39" i="29"/>
  <c r="C34" i="29"/>
  <c r="C30" i="29"/>
  <c r="C26" i="29"/>
  <c r="AI34" i="25"/>
  <c r="AP34" i="25" s="1"/>
  <c r="G35" i="25"/>
  <c r="N35" i="25" s="1"/>
  <c r="DM36" i="25"/>
  <c r="DP36" i="25" s="1"/>
  <c r="AL38" i="25"/>
  <c r="AI35" i="25"/>
  <c r="AP35" i="25" s="1"/>
  <c r="DJ36" i="25"/>
  <c r="DQ36" i="25" s="1"/>
  <c r="AJ37" i="25"/>
  <c r="AM37" i="25" s="1"/>
  <c r="CJ37" i="25"/>
  <c r="CM37" i="25" s="1"/>
  <c r="CH37" i="25"/>
  <c r="CO37" i="25" s="1"/>
  <c r="AL34" i="25"/>
  <c r="AO34" i="25" s="1"/>
  <c r="I35" i="25"/>
  <c r="L35" i="25" s="1"/>
  <c r="DK35" i="25"/>
  <c r="DN35" i="25" s="1"/>
  <c r="CH36" i="25"/>
  <c r="CO36" i="25" s="1"/>
  <c r="G127" i="32"/>
  <c r="G137" i="32" s="1"/>
  <c r="C23" i="29"/>
  <c r="C19" i="29"/>
  <c r="C14" i="29"/>
  <c r="B65" i="29"/>
  <c r="B42" i="29"/>
  <c r="B13" i="29"/>
  <c r="H9" i="29"/>
  <c r="D9" i="29"/>
  <c r="B6" i="29"/>
  <c r="C22" i="29"/>
  <c r="C18" i="29"/>
  <c r="C12" i="29"/>
  <c r="B57" i="29"/>
  <c r="B38" i="29"/>
  <c r="B11" i="29"/>
  <c r="G9" i="29"/>
  <c r="C9" i="29"/>
  <c r="B4" i="29"/>
  <c r="C21" i="29"/>
  <c r="C17" i="29"/>
  <c r="B71" i="29"/>
  <c r="B56" i="29"/>
  <c r="B25" i="29"/>
  <c r="J9" i="29"/>
  <c r="F9" i="29"/>
  <c r="B9" i="29"/>
  <c r="B2" i="29"/>
  <c r="C20" i="29"/>
  <c r="C16" i="29"/>
  <c r="B67" i="29"/>
  <c r="B54" i="29"/>
  <c r="B15" i="29"/>
  <c r="I9" i="29"/>
  <c r="E9" i="29"/>
  <c r="B7" i="29"/>
  <c r="G124" i="32"/>
  <c r="G125" i="32" s="1"/>
  <c r="G126" i="32"/>
  <c r="G128" i="32" s="1"/>
  <c r="I96" i="32"/>
  <c r="I97" i="32" s="1"/>
  <c r="I105" i="32" s="1"/>
  <c r="G117" i="32"/>
  <c r="G129" i="32" s="1"/>
  <c r="I78" i="32"/>
  <c r="G13" i="32"/>
  <c r="G56" i="32"/>
  <c r="D60" i="15"/>
  <c r="B35" i="25" s="1"/>
  <c r="CC35" i="25" s="1"/>
  <c r="B119" i="32"/>
  <c r="H77" i="32"/>
  <c r="D77" i="32"/>
  <c r="B81" i="32"/>
  <c r="B78" i="32"/>
  <c r="B73" i="32"/>
  <c r="B56" i="32"/>
  <c r="B52" i="32"/>
  <c r="B46" i="32"/>
  <c r="B19" i="32"/>
  <c r="B67" i="32" s="1"/>
  <c r="B4" i="32"/>
  <c r="B113" i="32"/>
  <c r="G77" i="32"/>
  <c r="C77" i="32"/>
  <c r="B79" i="32"/>
  <c r="B77" i="32"/>
  <c r="B95" i="32" s="1"/>
  <c r="B71" i="32"/>
  <c r="F50" i="32"/>
  <c r="B51" i="32"/>
  <c r="F12" i="32"/>
  <c r="F60" i="32" s="1"/>
  <c r="B10" i="32"/>
  <c r="B135" i="32"/>
  <c r="B111" i="32"/>
  <c r="F77" i="32"/>
  <c r="B82" i="32"/>
  <c r="B93" i="32"/>
  <c r="B69" i="32"/>
  <c r="B54" i="32"/>
  <c r="B50" i="32"/>
  <c r="E12" i="32"/>
  <c r="E60" i="32" s="1"/>
  <c r="B8" i="32"/>
  <c r="B129" i="32"/>
  <c r="B85" i="32"/>
  <c r="B103" i="32" s="1"/>
  <c r="E77" i="32"/>
  <c r="B83" i="32"/>
  <c r="B80" i="32"/>
  <c r="B75" i="32"/>
  <c r="B58" i="32"/>
  <c r="B53" i="32"/>
  <c r="B48" i="32"/>
  <c r="D12" i="32"/>
  <c r="D60" i="32" s="1"/>
  <c r="B6" i="32"/>
  <c r="B2" i="32"/>
  <c r="F137" i="17"/>
  <c r="G17" i="17"/>
  <c r="F77" i="17"/>
  <c r="B2" i="13"/>
  <c r="F136" i="17"/>
  <c r="B128" i="17"/>
  <c r="B72" i="17"/>
  <c r="B28" i="17"/>
  <c r="B12" i="17"/>
  <c r="B4" i="17"/>
  <c r="B172" i="17"/>
  <c r="B114" i="17"/>
  <c r="B70" i="17"/>
  <c r="H16" i="17"/>
  <c r="B10" i="17"/>
  <c r="B2" i="17"/>
  <c r="F17" i="17"/>
  <c r="B132" i="17"/>
  <c r="H76" i="17"/>
  <c r="B68" i="17"/>
  <c r="F16" i="17"/>
  <c r="B8" i="17"/>
  <c r="H136" i="17"/>
  <c r="B130" i="17"/>
  <c r="F76" i="17"/>
  <c r="B53" i="17"/>
  <c r="B14" i="17"/>
  <c r="B6" i="17"/>
  <c r="L33" i="25"/>
  <c r="BM33" i="25" s="1"/>
  <c r="D41" i="25"/>
  <c r="R75" i="25" s="1"/>
  <c r="CS75" i="25" s="1"/>
  <c r="N107" i="25"/>
  <c r="EE107" i="25" s="1"/>
  <c r="B30" i="15"/>
  <c r="B36" i="15"/>
  <c r="C18" i="8"/>
  <c r="D113" i="15"/>
  <c r="P77" i="25" s="1"/>
  <c r="P83" i="25" s="1"/>
  <c r="E26" i="8"/>
  <c r="B66" i="15"/>
  <c r="G96" i="15"/>
  <c r="G143" i="15" s="1"/>
  <c r="G171" i="15" s="1"/>
  <c r="G210" i="15" s="1"/>
  <c r="G258" i="15" s="1"/>
  <c r="B114" i="15"/>
  <c r="Q75" i="25" s="1"/>
  <c r="CR75" i="25" s="1"/>
  <c r="C8" i="11"/>
  <c r="B79" i="15"/>
  <c r="B4" i="15"/>
  <c r="B41" i="15"/>
  <c r="E60" i="15"/>
  <c r="E160" i="15" s="1"/>
  <c r="B81" i="15"/>
  <c r="B213" i="15"/>
  <c r="B261" i="15" s="1"/>
  <c r="B232" i="15"/>
  <c r="DE4" i="25" s="1"/>
  <c r="B26" i="17" s="1"/>
  <c r="AR12" i="25"/>
  <c r="DS12" i="25" s="1"/>
  <c r="R15" i="25"/>
  <c r="CS15" i="25" s="1"/>
  <c r="E57" i="25"/>
  <c r="CF57" i="25" s="1"/>
  <c r="P67" i="25"/>
  <c r="DS67" i="25" s="1"/>
  <c r="B12" i="8"/>
  <c r="B24" i="15"/>
  <c r="B234" i="15"/>
  <c r="D7" i="25"/>
  <c r="DG7" i="25" s="1"/>
  <c r="D8" i="25"/>
  <c r="AF8" i="25" s="1"/>
  <c r="P16" i="25"/>
  <c r="BP16" i="25" s="1"/>
  <c r="G33" i="25"/>
  <c r="AI33" i="25" s="1"/>
  <c r="U47" i="25"/>
  <c r="AW47" i="25" s="1"/>
  <c r="B64" i="25"/>
  <c r="CQ64" i="25" s="1"/>
  <c r="CQ101" i="25" s="1"/>
  <c r="CQ114" i="25" s="1"/>
  <c r="F91" i="15"/>
  <c r="G163" i="15" s="1"/>
  <c r="BH38" i="25" s="1"/>
  <c r="B2" i="8"/>
  <c r="C20" i="8"/>
  <c r="B6" i="15"/>
  <c r="G32" i="15"/>
  <c r="B43" i="15"/>
  <c r="B50" i="15"/>
  <c r="B4" i="25" s="1"/>
  <c r="B18" i="17" s="1"/>
  <c r="B62" i="15"/>
  <c r="D32" i="25" s="1"/>
  <c r="CE32" i="25" s="1"/>
  <c r="B73" i="15"/>
  <c r="G85" i="15"/>
  <c r="P29" i="25" s="1"/>
  <c r="B91" i="15"/>
  <c r="B121" i="15"/>
  <c r="B24" i="25"/>
  <c r="CC24" i="25" s="1"/>
  <c r="CC96" i="25" s="1"/>
  <c r="CC109" i="25" s="1"/>
  <c r="H42" i="25"/>
  <c r="AX42" i="25" s="1"/>
  <c r="E66" i="25"/>
  <c r="DH66" i="25" s="1"/>
  <c r="M94" i="25"/>
  <c r="CA94" i="25" s="1"/>
  <c r="B6" i="8"/>
  <c r="E24" i="8"/>
  <c r="B6" i="11"/>
  <c r="G22" i="15"/>
  <c r="G34" i="15"/>
  <c r="B47" i="15"/>
  <c r="P21" i="25" s="1"/>
  <c r="B54" i="15"/>
  <c r="H62" i="15"/>
  <c r="H73" i="15"/>
  <c r="H135" i="15" s="1"/>
  <c r="B87" i="15"/>
  <c r="R26" i="25" s="1"/>
  <c r="B96" i="15"/>
  <c r="P14" i="25" s="1"/>
  <c r="DS14" i="25" s="1"/>
  <c r="B109" i="15"/>
  <c r="B224" i="15" s="1"/>
  <c r="B272" i="15" s="1"/>
  <c r="B131" i="15"/>
  <c r="B196" i="15" s="1"/>
  <c r="B244" i="15" s="1"/>
  <c r="Q19" i="25"/>
  <c r="I32" i="25"/>
  <c r="BJ32" i="25" s="1"/>
  <c r="B14" i="8"/>
  <c r="B22" i="8"/>
  <c r="B2" i="11"/>
  <c r="D8" i="11"/>
  <c r="B18" i="15"/>
  <c r="B28" i="15"/>
  <c r="B33" i="15"/>
  <c r="B38" i="15"/>
  <c r="B9" i="25"/>
  <c r="CC9" i="25" s="1"/>
  <c r="B48" i="15"/>
  <c r="P22" i="25" s="1"/>
  <c r="B56" i="15"/>
  <c r="F60" i="15"/>
  <c r="B37" i="25" s="1"/>
  <c r="DE37" i="25" s="1"/>
  <c r="H63" i="15"/>
  <c r="E33" i="25" s="1"/>
  <c r="CF33" i="25" s="1"/>
  <c r="B68" i="15"/>
  <c r="B75" i="15"/>
  <c r="B43" i="25" s="1"/>
  <c r="BE43" i="25" s="1"/>
  <c r="E85" i="15"/>
  <c r="P27" i="25" s="1"/>
  <c r="B89" i="15"/>
  <c r="B92" i="15"/>
  <c r="B98" i="15"/>
  <c r="P15" i="25" s="1"/>
  <c r="CQ15" i="25" s="1"/>
  <c r="B106" i="15"/>
  <c r="B153" i="15" s="1"/>
  <c r="B181" i="15" s="1"/>
  <c r="B221" i="15" s="1"/>
  <c r="B269" i="15" s="1"/>
  <c r="E113" i="15"/>
  <c r="P78" i="25" s="1"/>
  <c r="P84" i="25" s="1"/>
  <c r="B115" i="15"/>
  <c r="B228" i="15" s="1"/>
  <c r="B276" i="15" s="1"/>
  <c r="B119" i="15"/>
  <c r="AD4" i="25" s="1"/>
  <c r="B20" i="17" s="1"/>
  <c r="B140" i="17" s="1"/>
  <c r="B139" i="15"/>
  <c r="AR4" i="25" s="1"/>
  <c r="B21" i="17" s="1"/>
  <c r="B81" i="17" s="1"/>
  <c r="B156" i="15"/>
  <c r="BE4" i="25" s="1"/>
  <c r="B22" i="17" s="1"/>
  <c r="B82" i="17" s="1"/>
  <c r="B186" i="15"/>
  <c r="B2" i="25"/>
  <c r="V20" i="25"/>
  <c r="V76" i="25" s="1"/>
  <c r="CW76" i="25" s="1"/>
  <c r="H33" i="25"/>
  <c r="BI33" i="25" s="1"/>
  <c r="P48" i="25"/>
  <c r="P49" i="25"/>
  <c r="CQ49" i="25" s="1"/>
  <c r="DS49" i="25" s="1"/>
  <c r="I54" i="25"/>
  <c r="DL54" i="25" s="1"/>
  <c r="E55" i="25"/>
  <c r="DH55" i="25" s="1"/>
  <c r="F57" i="25"/>
  <c r="AH57" i="25" s="1"/>
  <c r="R66" i="25"/>
  <c r="DU66" i="25" s="1"/>
  <c r="B74" i="25"/>
  <c r="BE74" i="25" s="1"/>
  <c r="BE102" i="25" s="1"/>
  <c r="BE115" i="25" s="1"/>
  <c r="B103" i="25"/>
  <c r="B116" i="25" s="1"/>
  <c r="EG116" i="25" s="1"/>
  <c r="B4" i="8"/>
  <c r="C14" i="8"/>
  <c r="B24" i="8"/>
  <c r="B4" i="11"/>
  <c r="E8" i="11"/>
  <c r="B22" i="15"/>
  <c r="G28" i="15"/>
  <c r="G33" i="15"/>
  <c r="B39" i="15"/>
  <c r="F46" i="15"/>
  <c r="R19" i="25" s="1"/>
  <c r="B58" i="15"/>
  <c r="B7" i="25" s="1"/>
  <c r="DE7" i="25" s="1"/>
  <c r="B61" i="15"/>
  <c r="B161" i="15" s="1"/>
  <c r="B64" i="15"/>
  <c r="F32" i="25" s="1"/>
  <c r="B71" i="15"/>
  <c r="B77" i="15"/>
  <c r="B14" i="32" s="1"/>
  <c r="B62" i="32" s="1"/>
  <c r="F85" i="15"/>
  <c r="P28" i="25" s="1"/>
  <c r="B94" i="15"/>
  <c r="B107" i="15"/>
  <c r="B154" i="15" s="1"/>
  <c r="B182" i="15" s="1"/>
  <c r="B222" i="15" s="1"/>
  <c r="B270" i="15" s="1"/>
  <c r="F113" i="15"/>
  <c r="P79" i="25" s="1"/>
  <c r="DS79" i="25" s="1"/>
  <c r="C119" i="15"/>
  <c r="C139" i="15" s="1"/>
  <c r="C156" i="15" s="1"/>
  <c r="C167" i="15" s="1"/>
  <c r="B141" i="15"/>
  <c r="B169" i="15"/>
  <c r="B204" i="15"/>
  <c r="B11" i="25"/>
  <c r="AD11" i="25" s="1"/>
  <c r="B18" i="25"/>
  <c r="B95" i="25" s="1"/>
  <c r="B108" i="25" s="1"/>
  <c r="W20" i="25"/>
  <c r="W76" i="25" s="1"/>
  <c r="DZ76" i="25" s="1"/>
  <c r="H32" i="25"/>
  <c r="BI32" i="25" s="1"/>
  <c r="K33" i="25"/>
  <c r="CL33" i="25" s="1"/>
  <c r="J54" i="25"/>
  <c r="DM54" i="25" s="1"/>
  <c r="J57" i="25"/>
  <c r="L94" i="25"/>
  <c r="BZ94" i="25" s="1"/>
  <c r="K107" i="25"/>
  <c r="EP107" i="25" s="1"/>
  <c r="B158" i="15"/>
  <c r="B206" i="15"/>
  <c r="B252" i="15"/>
  <c r="DS4" i="25" s="1"/>
  <c r="B27" i="17" s="1"/>
  <c r="B147" i="17" s="1"/>
  <c r="B6" i="25"/>
  <c r="CQ6" i="25" s="1"/>
  <c r="AT12" i="25"/>
  <c r="R14" i="25"/>
  <c r="DU14" i="25" s="1"/>
  <c r="X20" i="25"/>
  <c r="X76" i="25" s="1"/>
  <c r="B31" i="25"/>
  <c r="B97" i="25" s="1"/>
  <c r="B110" i="25" s="1"/>
  <c r="J32" i="25"/>
  <c r="AL32" i="25" s="1"/>
  <c r="I33" i="25"/>
  <c r="W82" i="25" s="1"/>
  <c r="DZ82" i="25" s="1"/>
  <c r="M33" i="25"/>
  <c r="BN33" i="25" s="1"/>
  <c r="I42" i="25"/>
  <c r="DZ42" i="25" s="1"/>
  <c r="B52" i="25"/>
  <c r="CQ52" i="25" s="1"/>
  <c r="CQ100" i="25" s="1"/>
  <c r="CQ113" i="25" s="1"/>
  <c r="H57" i="25"/>
  <c r="CI57" i="25" s="1"/>
  <c r="E65" i="25"/>
  <c r="CT90" i="25"/>
  <c r="N94" i="25"/>
  <c r="EE94" i="25" s="1"/>
  <c r="L107" i="25"/>
  <c r="CM107" i="25" s="1"/>
  <c r="C16" i="8"/>
  <c r="C22" i="8"/>
  <c r="E27" i="8"/>
  <c r="B8" i="11"/>
  <c r="B2" i="15"/>
  <c r="B20" i="15"/>
  <c r="B26" i="15"/>
  <c r="B32" i="15"/>
  <c r="B34" i="15"/>
  <c r="G38" i="15"/>
  <c r="G39" i="15" s="1"/>
  <c r="B45" i="15"/>
  <c r="B52" i="15"/>
  <c r="C60" i="15"/>
  <c r="B34" i="25" s="1"/>
  <c r="B67" i="25" s="1"/>
  <c r="G60" i="15"/>
  <c r="B63" i="15"/>
  <c r="E32" i="25" s="1"/>
  <c r="DH32" i="25" s="1"/>
  <c r="H64" i="15"/>
  <c r="B72" i="15"/>
  <c r="D65" i="25" s="1"/>
  <c r="CE65" i="25" s="1"/>
  <c r="G75" i="15"/>
  <c r="B83" i="15"/>
  <c r="B86" i="15"/>
  <c r="Q25" i="25" s="1"/>
  <c r="B90" i="15"/>
  <c r="G92" i="15"/>
  <c r="G213" i="15" s="1"/>
  <c r="G261" i="15" s="1"/>
  <c r="B97" i="15"/>
  <c r="B144" i="15" s="1"/>
  <c r="B172" i="15" s="1"/>
  <c r="B211" i="15" s="1"/>
  <c r="B259" i="15" s="1"/>
  <c r="B111" i="15"/>
  <c r="G113" i="15"/>
  <c r="P80" i="25" s="1"/>
  <c r="DS80" i="25" s="1"/>
  <c r="B116" i="15"/>
  <c r="B229" i="15" s="1"/>
  <c r="B277" i="15" s="1"/>
  <c r="B117" i="15"/>
  <c r="R81" i="25" s="1"/>
  <c r="DU81" i="25" s="1"/>
  <c r="B123" i="15"/>
  <c r="B188" i="15" s="1"/>
  <c r="B236" i="15" s="1"/>
  <c r="B167" i="15"/>
  <c r="BP4" i="25" s="1"/>
  <c r="B23" i="17" s="1"/>
  <c r="B143" i="17" s="1"/>
  <c r="B184" i="15"/>
  <c r="B15" i="32" s="1"/>
  <c r="B63" i="32" s="1"/>
  <c r="B208" i="15"/>
  <c r="B256" i="15" s="1"/>
  <c r="B254" i="15"/>
  <c r="AB48" i="25"/>
  <c r="E79" i="32" s="1"/>
  <c r="E87" i="32" s="1"/>
  <c r="D9" i="25"/>
  <c r="P13" i="25"/>
  <c r="DS13" i="25" s="1"/>
  <c r="R16" i="25"/>
  <c r="CS16" i="25" s="1"/>
  <c r="U19" i="25"/>
  <c r="U25" i="25" s="1"/>
  <c r="G32" i="25"/>
  <c r="AI32" i="25" s="1"/>
  <c r="N32" i="25"/>
  <c r="DQ32" i="25" s="1"/>
  <c r="J33" i="25"/>
  <c r="X82" i="25" s="1"/>
  <c r="CY82" i="25" s="1"/>
  <c r="N33" i="25"/>
  <c r="CO33" i="25" s="1"/>
  <c r="B40" i="25"/>
  <c r="BE40" i="25" s="1"/>
  <c r="BE98" i="25" s="1"/>
  <c r="BE111" i="25" s="1"/>
  <c r="J42" i="25"/>
  <c r="AZ42" i="25" s="1"/>
  <c r="B45" i="25"/>
  <c r="P50" i="25"/>
  <c r="CQ50" i="25" s="1"/>
  <c r="DS50" i="25" s="1"/>
  <c r="H54" i="25"/>
  <c r="D56" i="25"/>
  <c r="DG56" i="25" s="1"/>
  <c r="I57" i="25"/>
  <c r="I66" i="25" s="1"/>
  <c r="D66" i="25"/>
  <c r="DG66" i="25" s="1"/>
  <c r="K94" i="25"/>
  <c r="CL94" i="25" s="1"/>
  <c r="M107" i="25"/>
  <c r="ED107" i="25" s="1"/>
  <c r="CT67" i="25"/>
  <c r="AU67" i="25"/>
  <c r="B92" i="25"/>
  <c r="CC92" i="25" s="1"/>
  <c r="S75" i="25"/>
  <c r="DV75" i="25" s="1"/>
  <c r="B105" i="25"/>
  <c r="P105" i="25" s="1"/>
  <c r="DS105" i="25" s="1"/>
  <c r="C8" i="25"/>
  <c r="E229" i="15"/>
  <c r="CT78" i="25" s="1"/>
  <c r="C60" i="25"/>
  <c r="I36" i="25"/>
  <c r="L36" i="25" s="1"/>
  <c r="H36" i="25"/>
  <c r="K36" i="25" s="1"/>
  <c r="J36" i="25"/>
  <c r="M36" i="25" s="1"/>
  <c r="AI36" i="25"/>
  <c r="AP36" i="25" s="1"/>
  <c r="F229" i="15"/>
  <c r="CT79" i="25" s="1"/>
  <c r="G229" i="15"/>
  <c r="CT80" i="25" s="1"/>
  <c r="G36" i="25"/>
  <c r="N36" i="25" s="1"/>
  <c r="L137" i="12"/>
  <c r="D49" i="12"/>
  <c r="H125" i="12" s="1"/>
  <c r="L135" i="12" s="1"/>
  <c r="G38" i="25"/>
  <c r="N38" i="25" s="1"/>
  <c r="AE8" i="25"/>
  <c r="AS12" i="25" s="1"/>
  <c r="BF8" i="25" s="1"/>
  <c r="BQ12" i="25" s="1"/>
  <c r="DJ37" i="25"/>
  <c r="DQ37" i="25" s="1"/>
  <c r="CD62" i="25"/>
  <c r="CJ38" i="25"/>
  <c r="CI38" i="25"/>
  <c r="CK38" i="25"/>
  <c r="AK34" i="25"/>
  <c r="AN34" i="25" s="1"/>
  <c r="H35" i="25"/>
  <c r="K35" i="25" s="1"/>
  <c r="DJ35" i="25"/>
  <c r="DQ35" i="25" s="1"/>
  <c r="DL36" i="25"/>
  <c r="DO36" i="25" s="1"/>
  <c r="AI37" i="25"/>
  <c r="AP37" i="25" s="1"/>
  <c r="CI37" i="25"/>
  <c r="CL37" i="25" s="1"/>
  <c r="AK38" i="25"/>
  <c r="CO43" i="25"/>
  <c r="CO98" i="25" s="1"/>
  <c r="DC43" i="25"/>
  <c r="DC98" i="25" s="1"/>
  <c r="EE43" i="25"/>
  <c r="EE98" i="25" s="1"/>
  <c r="DC48" i="25"/>
  <c r="J35" i="25"/>
  <c r="M35" i="25" s="1"/>
  <c r="DL35" i="25"/>
  <c r="DO35" i="25" s="1"/>
  <c r="CI36" i="25"/>
  <c r="CL36" i="25" s="1"/>
  <c r="AK37" i="25"/>
  <c r="AN37" i="25" s="1"/>
  <c r="CK37" i="25"/>
  <c r="CN37" i="25" s="1"/>
  <c r="H38" i="25"/>
  <c r="K38" i="25" s="1"/>
  <c r="CH35" i="25"/>
  <c r="CO35" i="25" s="1"/>
  <c r="DM35" i="25"/>
  <c r="DP35" i="25" s="1"/>
  <c r="AJ36" i="25"/>
  <c r="AM36" i="25" s="1"/>
  <c r="CJ36" i="25"/>
  <c r="CM36" i="25" s="1"/>
  <c r="G37" i="25"/>
  <c r="N37" i="25" s="1"/>
  <c r="AL37" i="25"/>
  <c r="AO37" i="25" s="1"/>
  <c r="I38" i="25"/>
  <c r="L38" i="25" s="1"/>
  <c r="DK38" i="25"/>
  <c r="AB43" i="25"/>
  <c r="AB98" i="25" s="1"/>
  <c r="CI35" i="25"/>
  <c r="CL35" i="25" s="1"/>
  <c r="AK36" i="25"/>
  <c r="AN36" i="25" s="1"/>
  <c r="CK36" i="25"/>
  <c r="CN36" i="25" s="1"/>
  <c r="H37" i="25"/>
  <c r="K37" i="25" s="1"/>
  <c r="J38" i="25"/>
  <c r="M38" i="25" s="1"/>
  <c r="DL38" i="25"/>
  <c r="AJ35" i="25"/>
  <c r="AM35" i="25" s="1"/>
  <c r="CJ35" i="25"/>
  <c r="CM35" i="25" s="1"/>
  <c r="AL36" i="25"/>
  <c r="AO36" i="25" s="1"/>
  <c r="I37" i="25"/>
  <c r="L37" i="25" s="1"/>
  <c r="DK37" i="25"/>
  <c r="DN37" i="25" s="1"/>
  <c r="DM38" i="25"/>
  <c r="N43" i="25"/>
  <c r="N98" i="25" s="1"/>
  <c r="DQ43" i="25"/>
  <c r="DQ98" i="25" s="1"/>
  <c r="AK35" i="25"/>
  <c r="AN35" i="25" s="1"/>
  <c r="CK35" i="25"/>
  <c r="CN35" i="25" s="1"/>
  <c r="J37" i="25"/>
  <c r="M37" i="25" s="1"/>
  <c r="DL37" i="25"/>
  <c r="DO37" i="25" s="1"/>
  <c r="DY79" i="25"/>
  <c r="H71" i="25"/>
  <c r="H69" i="25"/>
  <c r="CW78" i="25"/>
  <c r="DZ79" i="25"/>
  <c r="I71" i="25"/>
  <c r="I69" i="25"/>
  <c r="J71" i="25"/>
  <c r="CW79" i="25"/>
  <c r="H68" i="25"/>
  <c r="J69" i="25"/>
  <c r="H70" i="25"/>
  <c r="EE48" i="25"/>
  <c r="AJ34" i="25"/>
  <c r="AM34" i="25" s="1"/>
  <c r="AL35" i="25"/>
  <c r="AO35" i="25" s="1"/>
  <c r="DK36" i="25"/>
  <c r="DN36" i="25" s="1"/>
  <c r="DM37" i="25"/>
  <c r="DP37" i="25" s="1"/>
  <c r="AJ38" i="25"/>
  <c r="CW80" i="25"/>
  <c r="J68" i="25"/>
  <c r="DY78" i="25"/>
  <c r="EA78" i="25"/>
  <c r="DZ78" i="25"/>
  <c r="CX79" i="25"/>
  <c r="CY80" i="25"/>
  <c r="CX80" i="25"/>
  <c r="BS67" i="25"/>
  <c r="S67" i="25"/>
  <c r="J70" i="25"/>
  <c r="CS88" i="25"/>
  <c r="CY78" i="25"/>
  <c r="CY79" i="25"/>
  <c r="I68" i="25"/>
  <c r="I70" i="25"/>
  <c r="CX78" i="25"/>
  <c r="EA79" i="25"/>
  <c r="DU88" i="25"/>
  <c r="ES96" i="25"/>
  <c r="ES102" i="25"/>
  <c r="ES95" i="25"/>
  <c r="C134" i="12" l="1"/>
  <c r="AG70" i="25"/>
  <c r="DH68" i="25"/>
  <c r="E175" i="15"/>
  <c r="E147" i="15"/>
  <c r="E177" i="15"/>
  <c r="E217" i="15"/>
  <c r="E101" i="15"/>
  <c r="E176" i="15"/>
  <c r="E148" i="15"/>
  <c r="E179" i="15"/>
  <c r="E263" i="15"/>
  <c r="E219" i="15"/>
  <c r="E102" i="15"/>
  <c r="E104" i="15" s="1"/>
  <c r="E215" i="15"/>
  <c r="E151" i="15"/>
  <c r="E216" i="15"/>
  <c r="E264" i="15"/>
  <c r="E149" i="15"/>
  <c r="E265" i="15"/>
  <c r="CF70" i="25"/>
  <c r="CF71" i="25"/>
  <c r="DH69" i="25"/>
  <c r="AG69" i="25"/>
  <c r="DH71" i="25"/>
  <c r="E71" i="25"/>
  <c r="N71" i="25" s="1"/>
  <c r="AG68" i="25"/>
  <c r="E70" i="25"/>
  <c r="N70" i="25" s="1"/>
  <c r="AG71" i="25"/>
  <c r="DH67" i="25"/>
  <c r="CF69" i="25"/>
  <c r="E67" i="25"/>
  <c r="CF67" i="25"/>
  <c r="E69" i="25"/>
  <c r="N69" i="25" s="1"/>
  <c r="DH70" i="25"/>
  <c r="CF68" i="25"/>
  <c r="G58" i="15"/>
  <c r="H275" i="15"/>
  <c r="C176" i="15"/>
  <c r="C102" i="15"/>
  <c r="C216" i="15"/>
  <c r="H227" i="15"/>
  <c r="C149" i="15"/>
  <c r="H114" i="15"/>
  <c r="C148" i="15"/>
  <c r="C265" i="15"/>
  <c r="C264" i="15"/>
  <c r="C101" i="15"/>
  <c r="C217" i="15"/>
  <c r="C177" i="15"/>
  <c r="CD58" i="25"/>
  <c r="CH34" i="25"/>
  <c r="CO34" i="25" s="1"/>
  <c r="DF58" i="25"/>
  <c r="E68" i="25"/>
  <c r="N68" i="25" s="1"/>
  <c r="G139" i="32"/>
  <c r="H124" i="12"/>
  <c r="C158" i="12"/>
  <c r="D74" i="12"/>
  <c r="F65" i="12"/>
  <c r="F74" i="12" s="1"/>
  <c r="H65" i="12"/>
  <c r="H74" i="12" s="1"/>
  <c r="J135" i="12"/>
  <c r="G125" i="12"/>
  <c r="K135" i="12"/>
  <c r="G126" i="12"/>
  <c r="C58" i="25"/>
  <c r="G65" i="12"/>
  <c r="G74" i="12" s="1"/>
  <c r="C74" i="12"/>
  <c r="E65" i="12"/>
  <c r="E74" i="12" s="1"/>
  <c r="AS13" i="25"/>
  <c r="BF9" i="25"/>
  <c r="CD9" i="25"/>
  <c r="CF62" i="25" s="1"/>
  <c r="DT13" i="25"/>
  <c r="Q13" i="25"/>
  <c r="AE9" i="25"/>
  <c r="AG61" i="25" s="1"/>
  <c r="C130" i="12"/>
  <c r="CR13" i="25"/>
  <c r="DF9" i="25"/>
  <c r="DH59" i="25" s="1"/>
  <c r="C9" i="25"/>
  <c r="E60" i="25" s="1"/>
  <c r="BQ13" i="25"/>
  <c r="E70" i="29"/>
  <c r="E69" i="29"/>
  <c r="E68" i="29"/>
  <c r="E14" i="29"/>
  <c r="X80" i="25"/>
  <c r="AA80" i="25" s="1"/>
  <c r="DJ34" i="25"/>
  <c r="DQ34" i="25" s="1"/>
  <c r="G133" i="32"/>
  <c r="G138" i="32"/>
  <c r="G140" i="32"/>
  <c r="V80" i="25"/>
  <c r="Y80" i="25" s="1"/>
  <c r="I144" i="12"/>
  <c r="K144" i="12"/>
  <c r="J144" i="12"/>
  <c r="J137" i="12"/>
  <c r="I137" i="12"/>
  <c r="K137" i="12"/>
  <c r="K146" i="12"/>
  <c r="J146" i="12"/>
  <c r="I146" i="12"/>
  <c r="C43" i="25"/>
  <c r="AK43" i="25" s="1"/>
  <c r="AN43" i="25" s="1"/>
  <c r="AN98" i="25" s="1"/>
  <c r="B133" i="32"/>
  <c r="K143" i="12"/>
  <c r="J143" i="12"/>
  <c r="I143" i="12"/>
  <c r="J141" i="12"/>
  <c r="I141" i="12"/>
  <c r="K141" i="12"/>
  <c r="K147" i="12"/>
  <c r="J147" i="12"/>
  <c r="I147" i="12"/>
  <c r="C55" i="25"/>
  <c r="B117" i="32"/>
  <c r="J145" i="12"/>
  <c r="I145" i="12"/>
  <c r="K145" i="12"/>
  <c r="K138" i="12"/>
  <c r="J138" i="12"/>
  <c r="I138" i="12"/>
  <c r="E116" i="15"/>
  <c r="S78" i="25" s="1"/>
  <c r="D277" i="15"/>
  <c r="DV77" i="25" s="1"/>
  <c r="D229" i="15"/>
  <c r="CT77" i="25" s="1"/>
  <c r="G277" i="15"/>
  <c r="DV80" i="25" s="1"/>
  <c r="F116" i="15"/>
  <c r="S79" i="25" s="1"/>
  <c r="D116" i="15"/>
  <c r="S77" i="25" s="1"/>
  <c r="G116" i="15"/>
  <c r="S80" i="25" s="1"/>
  <c r="I140" i="12"/>
  <c r="K140" i="12"/>
  <c r="J140" i="12"/>
  <c r="C66" i="29"/>
  <c r="B124" i="32"/>
  <c r="K142" i="12"/>
  <c r="J142" i="12"/>
  <c r="I142" i="12"/>
  <c r="K139" i="12"/>
  <c r="J139" i="12"/>
  <c r="I139" i="12"/>
  <c r="E137" i="12"/>
  <c r="F137" i="12"/>
  <c r="D137" i="12"/>
  <c r="C137" i="12"/>
  <c r="W80" i="25"/>
  <c r="Z80" i="25" s="1"/>
  <c r="F138" i="12"/>
  <c r="E138" i="12"/>
  <c r="H138" i="12"/>
  <c r="G138" i="12"/>
  <c r="G139" i="12"/>
  <c r="H139" i="12"/>
  <c r="D138" i="12"/>
  <c r="C138" i="12"/>
  <c r="DT86" i="25"/>
  <c r="Q86" i="25"/>
  <c r="CR85" i="25"/>
  <c r="DT84" i="25"/>
  <c r="Q84" i="25"/>
  <c r="CR83" i="25"/>
  <c r="CR86" i="25"/>
  <c r="DT85" i="25"/>
  <c r="Q85" i="25"/>
  <c r="CR84" i="25"/>
  <c r="DT83" i="25"/>
  <c r="Q83" i="25"/>
  <c r="G34" i="25"/>
  <c r="N34" i="25" s="1"/>
  <c r="N97" i="25" s="1"/>
  <c r="C78" i="32" s="1"/>
  <c r="C86" i="32" s="1"/>
  <c r="H140" i="12"/>
  <c r="G140" i="12"/>
  <c r="H137" i="12"/>
  <c r="G137" i="12"/>
  <c r="I98" i="32"/>
  <c r="I99" i="32" s="1"/>
  <c r="I104" i="32"/>
  <c r="G123" i="32"/>
  <c r="G122" i="32"/>
  <c r="D70" i="15"/>
  <c r="D132" i="15" s="1"/>
  <c r="AD35" i="25"/>
  <c r="B59" i="25"/>
  <c r="AD59" i="25" s="1"/>
  <c r="G16" i="32"/>
  <c r="G64" i="32"/>
  <c r="G19" i="32"/>
  <c r="G15" i="32"/>
  <c r="G67" i="32"/>
  <c r="G63" i="32"/>
  <c r="G18" i="32"/>
  <c r="G14" i="32"/>
  <c r="G66" i="32"/>
  <c r="G62" i="32"/>
  <c r="G17" i="32"/>
  <c r="G65" i="32"/>
  <c r="G61" i="32"/>
  <c r="DE35" i="25"/>
  <c r="B68" i="25"/>
  <c r="CC68" i="25" s="1"/>
  <c r="D160" i="15"/>
  <c r="D190" i="15"/>
  <c r="D238" i="15" s="1"/>
  <c r="BE35" i="25"/>
  <c r="I86" i="32"/>
  <c r="I79" i="32"/>
  <c r="B91" i="32"/>
  <c r="B101" i="32"/>
  <c r="B109" i="32" s="1"/>
  <c r="B97" i="32"/>
  <c r="B105" i="32" s="1"/>
  <c r="B87" i="32"/>
  <c r="B131" i="32"/>
  <c r="D95" i="32"/>
  <c r="D103" i="32" s="1"/>
  <c r="D85" i="32"/>
  <c r="B115" i="32"/>
  <c r="E95" i="32"/>
  <c r="E103" i="32" s="1"/>
  <c r="E85" i="32"/>
  <c r="C95" i="32"/>
  <c r="C103" i="32" s="1"/>
  <c r="C85" i="32"/>
  <c r="H95" i="32"/>
  <c r="H103" i="32" s="1"/>
  <c r="H85" i="32"/>
  <c r="B90" i="32"/>
  <c r="B100" i="32"/>
  <c r="B108" i="32" s="1"/>
  <c r="G95" i="32"/>
  <c r="G103" i="32" s="1"/>
  <c r="G85" i="32"/>
  <c r="B86" i="32"/>
  <c r="B96" i="32"/>
  <c r="B104" i="32" s="1"/>
  <c r="B88" i="32"/>
  <c r="B98" i="32"/>
  <c r="B106" i="32" s="1"/>
  <c r="F95" i="32"/>
  <c r="F103" i="32" s="1"/>
  <c r="F85" i="32"/>
  <c r="B99" i="32"/>
  <c r="B107" i="32" s="1"/>
  <c r="B89" i="32"/>
  <c r="CE8" i="25"/>
  <c r="BG8" i="25"/>
  <c r="AF41" i="25"/>
  <c r="DU75" i="25"/>
  <c r="DG41" i="25"/>
  <c r="E56" i="25"/>
  <c r="CF56" i="25" s="1"/>
  <c r="V42" i="25"/>
  <c r="F117" i="17"/>
  <c r="H77" i="17"/>
  <c r="L66" i="25"/>
  <c r="DO66" i="25" s="1"/>
  <c r="G137" i="17"/>
  <c r="G77" i="17"/>
  <c r="F175" i="17"/>
  <c r="H137" i="17"/>
  <c r="Z20" i="25"/>
  <c r="Z76" i="25" s="1"/>
  <c r="DA76" i="25" s="1"/>
  <c r="H17" i="17"/>
  <c r="F56" i="17"/>
  <c r="AB107" i="25"/>
  <c r="AP107" i="25" s="1"/>
  <c r="DQ107" i="25" s="1"/>
  <c r="ES107" i="25"/>
  <c r="CE41" i="25"/>
  <c r="R41" i="25"/>
  <c r="CS41" i="25" s="1"/>
  <c r="DU41" i="25" s="1"/>
  <c r="BG41" i="25"/>
  <c r="AT41" i="25"/>
  <c r="CM33" i="25"/>
  <c r="DO33" i="25"/>
  <c r="B134" i="17"/>
  <c r="B74" i="17"/>
  <c r="L42" i="25"/>
  <c r="L54" i="25" s="1"/>
  <c r="F116" i="17"/>
  <c r="G76" i="17"/>
  <c r="F55" i="17"/>
  <c r="G16" i="17"/>
  <c r="G136" i="17"/>
  <c r="F174" i="17"/>
  <c r="CO107" i="25"/>
  <c r="L57" i="25"/>
  <c r="CM57" i="25" s="1"/>
  <c r="Z82" i="25"/>
  <c r="EC82" i="25" s="1"/>
  <c r="AN33" i="25"/>
  <c r="B65" i="17"/>
  <c r="B126" i="17" s="1"/>
  <c r="B184" i="17" s="1"/>
  <c r="B88" i="17"/>
  <c r="B148" i="17" s="1"/>
  <c r="CQ67" i="25"/>
  <c r="DT75" i="25"/>
  <c r="DE64" i="25"/>
  <c r="DE101" i="25" s="1"/>
  <c r="DE114" i="25" s="1"/>
  <c r="AR64" i="25"/>
  <c r="AR101" i="25" s="1"/>
  <c r="AR114" i="25" s="1"/>
  <c r="DS103" i="25"/>
  <c r="CH33" i="25"/>
  <c r="AR67" i="25"/>
  <c r="EQ107" i="25"/>
  <c r="BB94" i="25"/>
  <c r="AG55" i="25"/>
  <c r="CQ116" i="25"/>
  <c r="P103" i="25"/>
  <c r="DJ33" i="25"/>
  <c r="AJ42" i="25"/>
  <c r="B101" i="25"/>
  <c r="B114" i="25" s="1"/>
  <c r="S66" i="25"/>
  <c r="AU66" i="25" s="1"/>
  <c r="B230" i="15"/>
  <c r="B278" i="15" s="1"/>
  <c r="ES94" i="25"/>
  <c r="CC74" i="25"/>
  <c r="CC102" i="25" s="1"/>
  <c r="CC115" i="25" s="1"/>
  <c r="DS74" i="25"/>
  <c r="DS102" i="25" s="1"/>
  <c r="DS115" i="25" s="1"/>
  <c r="BJ42" i="25"/>
  <c r="CZ78" i="25"/>
  <c r="CC37" i="25"/>
  <c r="CL107" i="25"/>
  <c r="CS90" i="25"/>
  <c r="K57" i="25"/>
  <c r="DN57" i="25" s="1"/>
  <c r="CQ77" i="25"/>
  <c r="DS11" i="25"/>
  <c r="CC11" i="25"/>
  <c r="CC103" i="25"/>
  <c r="AD116" i="25"/>
  <c r="AR116" i="25" s="1"/>
  <c r="BE116" i="25" s="1"/>
  <c r="BP116" i="25" s="1"/>
  <c r="H41" i="25"/>
  <c r="CI41" i="25" s="1"/>
  <c r="BP64" i="25"/>
  <c r="BP101" i="25" s="1"/>
  <c r="BP114" i="25" s="1"/>
  <c r="CW42" i="25"/>
  <c r="AD34" i="25"/>
  <c r="B17" i="32"/>
  <c r="B65" i="32" s="1"/>
  <c r="B162" i="15"/>
  <c r="DU16" i="25"/>
  <c r="CN107" i="25"/>
  <c r="BN94" i="25"/>
  <c r="K32" i="25"/>
  <c r="K65" i="25" s="1"/>
  <c r="CI32" i="25"/>
  <c r="P64" i="25"/>
  <c r="P101" i="25" s="1"/>
  <c r="P114" i="25" s="1"/>
  <c r="B199" i="15"/>
  <c r="B247" i="15" s="1"/>
  <c r="AD6" i="25"/>
  <c r="J41" i="25"/>
  <c r="AZ41" i="25" s="1"/>
  <c r="DA80" i="25"/>
  <c r="AL54" i="25"/>
  <c r="CJ42" i="25"/>
  <c r="B134" i="15"/>
  <c r="DS77" i="25"/>
  <c r="BC94" i="25"/>
  <c r="D226" i="15"/>
  <c r="D274" i="15" s="1"/>
  <c r="BP12" i="25"/>
  <c r="ER107" i="25"/>
  <c r="Z107" i="25"/>
  <c r="DA107" i="25" s="1"/>
  <c r="CA107" i="25"/>
  <c r="P116" i="25"/>
  <c r="DA94" i="25"/>
  <c r="BM94" i="25"/>
  <c r="BP67" i="25"/>
  <c r="H56" i="25"/>
  <c r="AJ56" i="25" s="1"/>
  <c r="DS64" i="25"/>
  <c r="DS101" i="25" s="1"/>
  <c r="DS114" i="25" s="1"/>
  <c r="BE64" i="25"/>
  <c r="BE101" i="25" s="1"/>
  <c r="BE114" i="25" s="1"/>
  <c r="DY42" i="25"/>
  <c r="AR15" i="25"/>
  <c r="DG8" i="25"/>
  <c r="B202" i="15"/>
  <c r="B250" i="15" s="1"/>
  <c r="P43" i="25"/>
  <c r="BP43" i="25" s="1"/>
  <c r="CQ14" i="25"/>
  <c r="ER94" i="25"/>
  <c r="AF56" i="25"/>
  <c r="CC116" i="25"/>
  <c r="Z94" i="25"/>
  <c r="AN94" i="25" s="1"/>
  <c r="DO94" i="25" s="1"/>
  <c r="I65" i="25"/>
  <c r="AY65" i="25" s="1"/>
  <c r="CC64" i="25"/>
  <c r="CC101" i="25" s="1"/>
  <c r="CC114" i="25" s="1"/>
  <c r="AD64" i="25"/>
  <c r="AD101" i="25" s="1"/>
  <c r="AD114" i="25" s="1"/>
  <c r="CJ33" i="25"/>
  <c r="N56" i="25"/>
  <c r="CO56" i="25" s="1"/>
  <c r="DU15" i="25"/>
  <c r="AK42" i="25"/>
  <c r="AJ32" i="25"/>
  <c r="B227" i="15"/>
  <c r="B275" i="15" s="1"/>
  <c r="AF65" i="25"/>
  <c r="DH33" i="25"/>
  <c r="BZ107" i="25"/>
  <c r="AT15" i="25"/>
  <c r="BR15" i="25" s="1"/>
  <c r="CN94" i="25"/>
  <c r="AJ57" i="25"/>
  <c r="EB94" i="25"/>
  <c r="W47" i="25"/>
  <c r="BW47" i="25" s="1"/>
  <c r="E48" i="15"/>
  <c r="CV47" i="25"/>
  <c r="AB94" i="25"/>
  <c r="AP94" i="25" s="1"/>
  <c r="DQ94" i="25" s="1"/>
  <c r="AF7" i="25"/>
  <c r="B100" i="25"/>
  <c r="B113" i="25" s="1"/>
  <c r="W26" i="25"/>
  <c r="Y94" i="25"/>
  <c r="AM94" i="25" s="1"/>
  <c r="DN94" i="25" s="1"/>
  <c r="DE105" i="25"/>
  <c r="J56" i="25"/>
  <c r="CK56" i="25" s="1"/>
  <c r="X19" i="25"/>
  <c r="X75" i="25" s="1"/>
  <c r="EA75" i="25" s="1"/>
  <c r="AD74" i="25"/>
  <c r="AD102" i="25" s="1"/>
  <c r="AD115" i="25" s="1"/>
  <c r="EP94" i="25"/>
  <c r="F160" i="15"/>
  <c r="B70" i="25"/>
  <c r="CC70" i="25" s="1"/>
  <c r="BP50" i="25"/>
  <c r="DK54" i="25"/>
  <c r="AJ54" i="25"/>
  <c r="B98" i="25"/>
  <c r="B111" i="25" s="1"/>
  <c r="AR40" i="25"/>
  <c r="AR98" i="25" s="1"/>
  <c r="AR111" i="25" s="1"/>
  <c r="CC40" i="25"/>
  <c r="CC98" i="25" s="1"/>
  <c r="CC111" i="25" s="1"/>
  <c r="DE40" i="25"/>
  <c r="DE98" i="25" s="1"/>
  <c r="DE111" i="25" s="1"/>
  <c r="P40" i="25"/>
  <c r="P98" i="25" s="1"/>
  <c r="P111" i="25" s="1"/>
  <c r="CQ40" i="25"/>
  <c r="CQ98" i="25" s="1"/>
  <c r="CQ111" i="25" s="1"/>
  <c r="DS40" i="25"/>
  <c r="DS98" i="25" s="1"/>
  <c r="EG98" i="25" s="1"/>
  <c r="EG111" i="25" s="1"/>
  <c r="B60" i="17" s="1"/>
  <c r="B121" i="17" s="1"/>
  <c r="B179" i="17" s="1"/>
  <c r="BP40" i="25"/>
  <c r="BP98" i="25" s="1"/>
  <c r="BP111" i="25" s="1"/>
  <c r="F56" i="25"/>
  <c r="DJ32" i="25"/>
  <c r="CH32" i="25"/>
  <c r="DG9" i="25"/>
  <c r="BG9" i="25"/>
  <c r="R13" i="25"/>
  <c r="CS13" i="25" s="1"/>
  <c r="G98" i="15"/>
  <c r="G145" i="15" s="1"/>
  <c r="G173" i="15" s="1"/>
  <c r="G212" i="15" s="1"/>
  <c r="G260" i="15" s="1"/>
  <c r="G202" i="15"/>
  <c r="G250" i="15" s="1"/>
  <c r="D42" i="25"/>
  <c r="DG42" i="25" s="1"/>
  <c r="G104" i="15"/>
  <c r="G151" i="15" s="1"/>
  <c r="G179" i="15" s="1"/>
  <c r="G219" i="15" s="1"/>
  <c r="G267" i="15" s="1"/>
  <c r="B38" i="25"/>
  <c r="G70" i="15"/>
  <c r="G197" i="15" s="1"/>
  <c r="G245" i="15" s="1"/>
  <c r="G160" i="15"/>
  <c r="CC52" i="25"/>
  <c r="CC100" i="25" s="1"/>
  <c r="CC113" i="25" s="1"/>
  <c r="DE52" i="25"/>
  <c r="DE100" i="25" s="1"/>
  <c r="DE113" i="25" s="1"/>
  <c r="BP52" i="25"/>
  <c r="BP100" i="25" s="1"/>
  <c r="BP113" i="25" s="1"/>
  <c r="P52" i="25"/>
  <c r="DS52" i="25" s="1"/>
  <c r="DS100" i="25" s="1"/>
  <c r="DS113" i="25" s="1"/>
  <c r="AR52" i="25"/>
  <c r="AR100" i="25" s="1"/>
  <c r="AR113" i="25" s="1"/>
  <c r="M32" i="25"/>
  <c r="X81" i="25"/>
  <c r="CY81" i="25" s="1"/>
  <c r="CK32" i="25"/>
  <c r="BR12" i="25"/>
  <c r="DU12" i="25"/>
  <c r="CS12" i="25"/>
  <c r="AL57" i="25"/>
  <c r="J66" i="25"/>
  <c r="AL66" i="25" s="1"/>
  <c r="CQ4" i="25"/>
  <c r="B25" i="17" s="1"/>
  <c r="B16" i="32"/>
  <c r="B64" i="32" s="1"/>
  <c r="CQ79" i="25"/>
  <c r="P85" i="25"/>
  <c r="DS85" i="25" s="1"/>
  <c r="C32" i="25"/>
  <c r="B126" i="15"/>
  <c r="B191" i="15"/>
  <c r="B239" i="15" s="1"/>
  <c r="DE74" i="25"/>
  <c r="DE102" i="25" s="1"/>
  <c r="DE115" i="25" s="1"/>
  <c r="CQ74" i="25"/>
  <c r="CQ102" i="25" s="1"/>
  <c r="CQ115" i="25" s="1"/>
  <c r="P74" i="25"/>
  <c r="P102" i="25" s="1"/>
  <c r="P115" i="25" s="1"/>
  <c r="B102" i="25"/>
  <c r="B115" i="25" s="1"/>
  <c r="AK54" i="25"/>
  <c r="CJ54" i="25"/>
  <c r="V82" i="25"/>
  <c r="AJ33" i="25"/>
  <c r="CI33" i="25"/>
  <c r="D33" i="25"/>
  <c r="H192" i="15"/>
  <c r="H240" i="15" s="1"/>
  <c r="H117" i="15"/>
  <c r="S83" i="25" s="1"/>
  <c r="H162" i="15"/>
  <c r="G188" i="15"/>
  <c r="G236" i="15" s="1"/>
  <c r="E45" i="15"/>
  <c r="E47" i="15"/>
  <c r="H71" i="15"/>
  <c r="H198" i="15" s="1"/>
  <c r="H246" i="15" s="1"/>
  <c r="G106" i="15"/>
  <c r="G153" i="15" s="1"/>
  <c r="G181" i="15" s="1"/>
  <c r="G221" i="15" s="1"/>
  <c r="G269" i="15" s="1"/>
  <c r="B96" i="25"/>
  <c r="B109" i="25" s="1"/>
  <c r="AR24" i="25"/>
  <c r="AR96" i="25" s="1"/>
  <c r="AR109" i="25" s="1"/>
  <c r="DS24" i="25"/>
  <c r="DS96" i="25" s="1"/>
  <c r="BE24" i="25"/>
  <c r="BE96" i="25" s="1"/>
  <c r="BE109" i="25" s="1"/>
  <c r="BP24" i="25"/>
  <c r="BP96" i="25" s="1"/>
  <c r="BP109" i="25" s="1"/>
  <c r="AD24" i="25"/>
  <c r="AD96" i="25" s="1"/>
  <c r="AD109" i="25" s="1"/>
  <c r="CQ24" i="25"/>
  <c r="CQ96" i="25" s="1"/>
  <c r="CQ109" i="25" s="1"/>
  <c r="B200" i="15"/>
  <c r="B248" i="15" s="1"/>
  <c r="B135" i="15"/>
  <c r="B36" i="25"/>
  <c r="E70" i="15"/>
  <c r="E197" i="15" s="1"/>
  <c r="E245" i="15" s="1"/>
  <c r="CZ94" i="25"/>
  <c r="CO94" i="25"/>
  <c r="DM57" i="25"/>
  <c r="J65" i="25"/>
  <c r="EA65" i="25" s="1"/>
  <c r="AF9" i="25"/>
  <c r="DK33" i="25"/>
  <c r="CQ12" i="25"/>
  <c r="B13" i="32"/>
  <c r="B61" i="32" s="1"/>
  <c r="F226" i="15"/>
  <c r="F274" i="15" s="1"/>
  <c r="G137" i="15"/>
  <c r="G165" i="15" s="1"/>
  <c r="E190" i="15"/>
  <c r="E238" i="15" s="1"/>
  <c r="E46" i="15"/>
  <c r="CQ11" i="25"/>
  <c r="DM32" i="25"/>
  <c r="AD52" i="25"/>
  <c r="AD100" i="25" s="1"/>
  <c r="AD113" i="25" s="1"/>
  <c r="CE7" i="25"/>
  <c r="AL33" i="25"/>
  <c r="DX47" i="25"/>
  <c r="BA94" i="25"/>
  <c r="BL94" i="25"/>
  <c r="CI54" i="25"/>
  <c r="G190" i="15"/>
  <c r="G238" i="15" s="1"/>
  <c r="G97" i="15"/>
  <c r="G144" i="15" s="1"/>
  <c r="G172" i="15" s="1"/>
  <c r="G211" i="15" s="1"/>
  <c r="G259" i="15" s="1"/>
  <c r="CE9" i="25"/>
  <c r="AK57" i="25"/>
  <c r="CJ57" i="25"/>
  <c r="B99" i="25"/>
  <c r="B112" i="25" s="1"/>
  <c r="P45" i="25"/>
  <c r="F33" i="25"/>
  <c r="AH33" i="25" s="1"/>
  <c r="H72" i="15"/>
  <c r="H199" i="15" s="1"/>
  <c r="H247" i="15" s="1"/>
  <c r="H163" i="15"/>
  <c r="DH65" i="25"/>
  <c r="S65" i="25"/>
  <c r="BS65" i="25" s="1"/>
  <c r="M57" i="25"/>
  <c r="AO57" i="25" s="1"/>
  <c r="AA82" i="25"/>
  <c r="ED82" i="25" s="1"/>
  <c r="X47" i="25"/>
  <c r="BX47" i="25" s="1"/>
  <c r="X26" i="25"/>
  <c r="BL107" i="25"/>
  <c r="Y107" i="25"/>
  <c r="AM107" i="25" s="1"/>
  <c r="DN107" i="25" s="1"/>
  <c r="BA107" i="25"/>
  <c r="BY107" i="25"/>
  <c r="K42" i="25"/>
  <c r="BL33" i="25"/>
  <c r="Y20" i="25"/>
  <c r="Y47" i="25" s="1"/>
  <c r="CZ47" i="25" s="1"/>
  <c r="DN33" i="25"/>
  <c r="K66" i="25"/>
  <c r="Y66" i="25" s="1"/>
  <c r="CZ66" i="25" s="1"/>
  <c r="DE11" i="25"/>
  <c r="P11" i="25"/>
  <c r="AR11" i="25"/>
  <c r="BP11" i="25"/>
  <c r="C65" i="25"/>
  <c r="B198" i="15"/>
  <c r="B246" i="15" s="1"/>
  <c r="B133" i="15"/>
  <c r="CG57" i="25"/>
  <c r="DI57" i="25"/>
  <c r="CQ48" i="25"/>
  <c r="BP48" i="25"/>
  <c r="AR48" i="25"/>
  <c r="B61" i="25"/>
  <c r="AD61" i="25" s="1"/>
  <c r="BE37" i="25"/>
  <c r="AD37" i="25"/>
  <c r="AG66" i="25"/>
  <c r="CF66" i="25"/>
  <c r="G242" i="15"/>
  <c r="DI38" i="25" s="1"/>
  <c r="DN38" i="25" s="1"/>
  <c r="DA79" i="25"/>
  <c r="G129" i="15"/>
  <c r="AH38" i="25" s="1"/>
  <c r="AI38" i="25" s="1"/>
  <c r="AP38" i="25" s="1"/>
  <c r="DA78" i="25"/>
  <c r="DS16" i="25"/>
  <c r="CQ16" i="25"/>
  <c r="AR16" i="25"/>
  <c r="AG57" i="25"/>
  <c r="DH57" i="25"/>
  <c r="DC94" i="25"/>
  <c r="BY94" i="25"/>
  <c r="BP74" i="25"/>
  <c r="BP102" i="25" s="1"/>
  <c r="BP115" i="25" s="1"/>
  <c r="AR74" i="25"/>
  <c r="AR102" i="25" s="1"/>
  <c r="AR115" i="25" s="1"/>
  <c r="DB78" i="25"/>
  <c r="Y82" i="25"/>
  <c r="EB82" i="25" s="1"/>
  <c r="CX76" i="25"/>
  <c r="DS48" i="25"/>
  <c r="AM33" i="25"/>
  <c r="DE24" i="25"/>
  <c r="DE96" i="25" s="1"/>
  <c r="DE109" i="25" s="1"/>
  <c r="G123" i="15"/>
  <c r="H126" i="15" s="1"/>
  <c r="H133" i="15" s="1"/>
  <c r="CC4" i="25"/>
  <c r="B24" i="17" s="1"/>
  <c r="B84" i="17" s="1"/>
  <c r="F190" i="15"/>
  <c r="F238" i="15" s="1"/>
  <c r="H61" i="15"/>
  <c r="H191" i="15" s="1"/>
  <c r="H239" i="15" s="1"/>
  <c r="H86" i="15"/>
  <c r="F70" i="15"/>
  <c r="F197" i="15" s="1"/>
  <c r="F245" i="15" s="1"/>
  <c r="G194" i="15"/>
  <c r="CG38" i="25" s="1"/>
  <c r="CH38" i="25" s="1"/>
  <c r="CO38" i="25" s="1"/>
  <c r="B141" i="17"/>
  <c r="CK57" i="25"/>
  <c r="BE52" i="25"/>
  <c r="BE100" i="25" s="1"/>
  <c r="BE113" i="25" s="1"/>
  <c r="BE11" i="25"/>
  <c r="BK32" i="25"/>
  <c r="P24" i="25"/>
  <c r="P96" i="25" s="1"/>
  <c r="P109" i="25" s="1"/>
  <c r="EB107" i="25"/>
  <c r="CC45" i="25"/>
  <c r="DB79" i="25"/>
  <c r="CZ80" i="25"/>
  <c r="CZ79" i="25"/>
  <c r="DB80" i="25"/>
  <c r="ED94" i="25"/>
  <c r="DB94" i="25"/>
  <c r="BE18" i="25"/>
  <c r="BE95" i="25" s="1"/>
  <c r="BE108" i="25" s="1"/>
  <c r="DE31" i="25"/>
  <c r="DE97" i="25" s="1"/>
  <c r="DE110" i="25" s="1"/>
  <c r="W42" i="25"/>
  <c r="B192" i="15"/>
  <c r="B240" i="15" s="1"/>
  <c r="AF32" i="25"/>
  <c r="B127" i="15"/>
  <c r="BE9" i="25"/>
  <c r="AR14" i="25"/>
  <c r="AK32" i="25"/>
  <c r="EG103" i="25"/>
  <c r="DS116" i="25"/>
  <c r="AT66" i="25"/>
  <c r="X42" i="25"/>
  <c r="N54" i="25"/>
  <c r="CO54" i="25" s="1"/>
  <c r="BV42" i="25"/>
  <c r="I41" i="25"/>
  <c r="CX41" i="25" s="1"/>
  <c r="I56" i="25"/>
  <c r="AK56" i="25" s="1"/>
  <c r="CI42" i="25"/>
  <c r="DL32" i="25"/>
  <c r="DE34" i="25"/>
  <c r="B145" i="15"/>
  <c r="B173" i="15" s="1"/>
  <c r="B212" i="15" s="1"/>
  <c r="B260" i="15" s="1"/>
  <c r="DG32" i="25"/>
  <c r="C160" i="15"/>
  <c r="B104" i="15"/>
  <c r="B151" i="15" s="1"/>
  <c r="B165" i="15" s="1"/>
  <c r="G100" i="15"/>
  <c r="S48" i="25" s="1"/>
  <c r="BS48" i="25" s="1"/>
  <c r="B8" i="25"/>
  <c r="DE8" i="25" s="1"/>
  <c r="BP14" i="25"/>
  <c r="H200" i="15"/>
  <c r="H248" i="15" s="1"/>
  <c r="CS66" i="25"/>
  <c r="CQ103" i="25"/>
  <c r="BX42" i="25"/>
  <c r="CQ13" i="25"/>
  <c r="AA94" i="25"/>
  <c r="AO94" i="25" s="1"/>
  <c r="DP94" i="25" s="1"/>
  <c r="CJ32" i="25"/>
  <c r="P31" i="25"/>
  <c r="P97" i="25" s="1"/>
  <c r="P110" i="25" s="1"/>
  <c r="CX82" i="25"/>
  <c r="W81" i="25"/>
  <c r="CX81" i="25" s="1"/>
  <c r="H65" i="25"/>
  <c r="V65" i="25" s="1"/>
  <c r="CW65" i="25" s="1"/>
  <c r="BI42" i="25"/>
  <c r="DK42" i="25"/>
  <c r="DE18" i="25"/>
  <c r="DE95" i="25" s="1"/>
  <c r="DE108" i="25" s="1"/>
  <c r="L32" i="25"/>
  <c r="L93" i="25" s="1"/>
  <c r="DS15" i="25"/>
  <c r="B163" i="15"/>
  <c r="B129" i="15"/>
  <c r="BG32" i="25"/>
  <c r="P4" i="25"/>
  <c r="B19" i="17" s="1"/>
  <c r="B139" i="17" s="1"/>
  <c r="DE43" i="25"/>
  <c r="B143" i="15"/>
  <c r="B171" i="15" s="1"/>
  <c r="B210" i="15" s="1"/>
  <c r="B258" i="15" s="1"/>
  <c r="CC43" i="25"/>
  <c r="B142" i="17"/>
  <c r="B80" i="17"/>
  <c r="DM42" i="25"/>
  <c r="BP49" i="25"/>
  <c r="W19" i="25"/>
  <c r="W25" i="25" s="1"/>
  <c r="DK57" i="25"/>
  <c r="AF66" i="25"/>
  <c r="AD31" i="25"/>
  <c r="AD97" i="25" s="1"/>
  <c r="AD110" i="25" s="1"/>
  <c r="AP33" i="25"/>
  <c r="N41" i="25"/>
  <c r="AB41" i="25" s="1"/>
  <c r="DQ33" i="25"/>
  <c r="N57" i="25"/>
  <c r="CO57" i="25" s="1"/>
  <c r="N65" i="25"/>
  <c r="AP65" i="25" s="1"/>
  <c r="V19" i="25"/>
  <c r="V75" i="25" s="1"/>
  <c r="P86" i="25"/>
  <c r="DS86" i="25" s="1"/>
  <c r="BP15" i="25"/>
  <c r="BE34" i="25"/>
  <c r="DE6" i="25"/>
  <c r="DS78" i="25"/>
  <c r="DG65" i="25"/>
  <c r="B194" i="15"/>
  <c r="B242" i="15" s="1"/>
  <c r="B137" i="15"/>
  <c r="AD7" i="25"/>
  <c r="AR6" i="25"/>
  <c r="AD43" i="25"/>
  <c r="AG33" i="25"/>
  <c r="DE9" i="25"/>
  <c r="EQ94" i="25"/>
  <c r="CM94" i="25"/>
  <c r="DK32" i="25"/>
  <c r="AA107" i="25"/>
  <c r="DB107" i="25" s="1"/>
  <c r="BP13" i="25"/>
  <c r="AR18" i="25"/>
  <c r="AR95" i="25" s="1"/>
  <c r="AR108" i="25" s="1"/>
  <c r="AD18" i="25"/>
  <c r="AD95" i="25" s="1"/>
  <c r="AD108" i="25" s="1"/>
  <c r="AD40" i="25"/>
  <c r="AD98" i="25" s="1"/>
  <c r="AD111" i="25" s="1"/>
  <c r="P92" i="25"/>
  <c r="DS92" i="25" s="1"/>
  <c r="CE66" i="25"/>
  <c r="N42" i="25"/>
  <c r="DC42" i="25" s="1"/>
  <c r="BP18" i="25"/>
  <c r="BP95" i="25" s="1"/>
  <c r="BP108" i="25" s="1"/>
  <c r="AY42" i="25"/>
  <c r="DY76" i="25"/>
  <c r="CK54" i="25"/>
  <c r="CC31" i="25"/>
  <c r="CC97" i="25" s="1"/>
  <c r="CC110" i="25" s="1"/>
  <c r="DS18" i="25"/>
  <c r="DS95" i="25" s="1"/>
  <c r="EG95" i="25" s="1"/>
  <c r="EG108" i="25" s="1"/>
  <c r="B57" i="17" s="1"/>
  <c r="B118" i="17" s="1"/>
  <c r="B176" i="17" s="1"/>
  <c r="N66" i="25"/>
  <c r="EE66" i="25" s="1"/>
  <c r="BP31" i="25"/>
  <c r="BP97" i="25" s="1"/>
  <c r="BP110" i="25" s="1"/>
  <c r="AR31" i="25"/>
  <c r="AR97" i="25" s="1"/>
  <c r="AR110" i="25" s="1"/>
  <c r="CC18" i="25"/>
  <c r="CC95" i="25" s="1"/>
  <c r="CC108" i="25" s="1"/>
  <c r="CQ80" i="25"/>
  <c r="B58" i="25"/>
  <c r="DE58" i="25" s="1"/>
  <c r="CQ78" i="25"/>
  <c r="R65" i="25"/>
  <c r="AT65" i="25" s="1"/>
  <c r="H128" i="15"/>
  <c r="BP6" i="25"/>
  <c r="BE6" i="25"/>
  <c r="C190" i="15"/>
  <c r="C238" i="15" s="1"/>
  <c r="B83" i="17"/>
  <c r="AD9" i="25"/>
  <c r="DL42" i="25"/>
  <c r="CQ92" i="25"/>
  <c r="P6" i="25"/>
  <c r="AR49" i="25"/>
  <c r="CQ31" i="25"/>
  <c r="CQ97" i="25" s="1"/>
  <c r="CQ110" i="25" s="1"/>
  <c r="DS6" i="25"/>
  <c r="DE103" i="25"/>
  <c r="DE116" i="25"/>
  <c r="EC94" i="25"/>
  <c r="BR66" i="25"/>
  <c r="CF55" i="25"/>
  <c r="AP32" i="25"/>
  <c r="DS31" i="25"/>
  <c r="DS97" i="25" s="1"/>
  <c r="DS110" i="25" s="1"/>
  <c r="V26" i="25"/>
  <c r="V81" i="25"/>
  <c r="CW81" i="25" s="1"/>
  <c r="CX42" i="25"/>
  <c r="P18" i="25"/>
  <c r="P95" i="25" s="1"/>
  <c r="P108" i="25" s="1"/>
  <c r="V47" i="25"/>
  <c r="DY47" i="25" s="1"/>
  <c r="BW42" i="25"/>
  <c r="CS14" i="25"/>
  <c r="CC34" i="25"/>
  <c r="G226" i="15"/>
  <c r="G274" i="15" s="1"/>
  <c r="C70" i="15"/>
  <c r="C197" i="15" s="1"/>
  <c r="C245" i="15" s="1"/>
  <c r="CC7" i="25"/>
  <c r="E226" i="15"/>
  <c r="E274" i="15" s="1"/>
  <c r="H193" i="15"/>
  <c r="H241" i="15" s="1"/>
  <c r="CC6" i="25"/>
  <c r="CF32" i="25"/>
  <c r="CY42" i="25"/>
  <c r="BE31" i="25"/>
  <c r="BE97" i="25" s="1"/>
  <c r="BE110" i="25" s="1"/>
  <c r="EA42" i="25"/>
  <c r="CQ18" i="25"/>
  <c r="CQ95" i="25" s="1"/>
  <c r="CQ108" i="25" s="1"/>
  <c r="AD103" i="25"/>
  <c r="AR103" i="25" s="1"/>
  <c r="BE103" i="25" s="1"/>
  <c r="BP103" i="25" s="1"/>
  <c r="AR50" i="25"/>
  <c r="DE45" i="25"/>
  <c r="BP45" i="25"/>
  <c r="EA82" i="25"/>
  <c r="DP33" i="25"/>
  <c r="H87" i="15"/>
  <c r="S27" i="25" s="1"/>
  <c r="BB107" i="25"/>
  <c r="DM33" i="25"/>
  <c r="N53" i="25"/>
  <c r="AP53" i="25" s="1"/>
  <c r="CO32" i="25"/>
  <c r="N93" i="25"/>
  <c r="AB93" i="25" s="1"/>
  <c r="CS81" i="25"/>
  <c r="AA20" i="25"/>
  <c r="AA76" i="25" s="1"/>
  <c r="M42" i="25"/>
  <c r="AO42" i="25" s="1"/>
  <c r="H194" i="15"/>
  <c r="H242" i="15" s="1"/>
  <c r="B128" i="15"/>
  <c r="B18" i="32"/>
  <c r="B66" i="32" s="1"/>
  <c r="AG32" i="25"/>
  <c r="B87" i="17"/>
  <c r="CK33" i="25"/>
  <c r="CK42" i="25"/>
  <c r="BK42" i="25"/>
  <c r="AG65" i="25"/>
  <c r="H66" i="25"/>
  <c r="AX66" i="25" s="1"/>
  <c r="B193" i="15"/>
  <c r="B241" i="15" s="1"/>
  <c r="CQ45" i="25"/>
  <c r="DL57" i="25"/>
  <c r="CN33" i="25"/>
  <c r="M66" i="25"/>
  <c r="ED66" i="25" s="1"/>
  <c r="BK33" i="25"/>
  <c r="AR45" i="25"/>
  <c r="BN107" i="25"/>
  <c r="BC107" i="25"/>
  <c r="BM107" i="25"/>
  <c r="EC107" i="25"/>
  <c r="CC105" i="25"/>
  <c r="CT75" i="25"/>
  <c r="AL42" i="25"/>
  <c r="DL33" i="25"/>
  <c r="AT14" i="25"/>
  <c r="BR14" i="25" s="1"/>
  <c r="AK33" i="25"/>
  <c r="AT16" i="25"/>
  <c r="BR16" i="25" s="1"/>
  <c r="AO33" i="25"/>
  <c r="DS45" i="25"/>
  <c r="CF65" i="25"/>
  <c r="CE56" i="25"/>
  <c r="BJ33" i="25"/>
  <c r="AR13" i="25"/>
  <c r="BE45" i="25"/>
  <c r="AD45" i="25"/>
  <c r="AD105" i="25"/>
  <c r="AR105" i="25" s="1"/>
  <c r="BE105" i="25" s="1"/>
  <c r="BP105" i="25" s="1"/>
  <c r="CQ105" i="25"/>
  <c r="DE92" i="25"/>
  <c r="AD92" i="25"/>
  <c r="H114" i="12"/>
  <c r="D80" i="32"/>
  <c r="D88" i="32" s="1"/>
  <c r="CJ66" i="25"/>
  <c r="BW66" i="25"/>
  <c r="AY66" i="25"/>
  <c r="AK66" i="25"/>
  <c r="W66" i="25"/>
  <c r="CX66" i="25" s="1"/>
  <c r="DZ66" i="25"/>
  <c r="DL66" i="25"/>
  <c r="E83" i="32"/>
  <c r="E91" i="32" s="1"/>
  <c r="AD67" i="25"/>
  <c r="CC67" i="25"/>
  <c r="DE67" i="25"/>
  <c r="DS83" i="25"/>
  <c r="CQ83" i="25"/>
  <c r="ES98" i="25"/>
  <c r="D78" i="32"/>
  <c r="D86" i="32" s="1"/>
  <c r="CY76" i="25"/>
  <c r="EA76" i="25"/>
  <c r="B146" i="17"/>
  <c r="B86" i="17"/>
  <c r="E81" i="32"/>
  <c r="E89" i="32" s="1"/>
  <c r="DS84" i="25"/>
  <c r="CQ84" i="25"/>
  <c r="D79" i="32"/>
  <c r="D87" i="32" s="1"/>
  <c r="D83" i="32"/>
  <c r="D91" i="32" s="1"/>
  <c r="B138" i="17"/>
  <c r="B78" i="17"/>
  <c r="D82" i="32"/>
  <c r="D90" i="32" s="1"/>
  <c r="D81" i="32"/>
  <c r="D89" i="32" s="1"/>
  <c r="DI32" i="25"/>
  <c r="AH32" i="25"/>
  <c r="CG32" i="25"/>
  <c r="BH32" i="25"/>
  <c r="E154" i="12" l="1"/>
  <c r="E153" i="12"/>
  <c r="G157" i="12"/>
  <c r="G154" i="12"/>
  <c r="G159" i="12"/>
  <c r="G156" i="12"/>
  <c r="G155" i="12"/>
  <c r="G161" i="12"/>
  <c r="G153" i="12"/>
  <c r="G158" i="12"/>
  <c r="G162" i="12"/>
  <c r="G160" i="12"/>
  <c r="K70" i="25"/>
  <c r="M71" i="25"/>
  <c r="K71" i="25"/>
  <c r="L71" i="25"/>
  <c r="M70" i="25"/>
  <c r="L70" i="25"/>
  <c r="K69" i="25"/>
  <c r="L69" i="25"/>
  <c r="M69" i="25"/>
  <c r="AL67" i="25"/>
  <c r="AO67" i="25" s="1"/>
  <c r="W22" i="25"/>
  <c r="Z22" i="25" s="1"/>
  <c r="V22" i="25"/>
  <c r="Y22" i="25" s="1"/>
  <c r="X22" i="25"/>
  <c r="AA22" i="25" s="1"/>
  <c r="U22" i="25"/>
  <c r="S22" i="25"/>
  <c r="DH60" i="25"/>
  <c r="CF58" i="25"/>
  <c r="DH58" i="25"/>
  <c r="CF61" i="25"/>
  <c r="CF60" i="25"/>
  <c r="CF59" i="25"/>
  <c r="BU49" i="25"/>
  <c r="L68" i="25"/>
  <c r="M68" i="25"/>
  <c r="K68" i="25"/>
  <c r="DC49" i="25"/>
  <c r="BX50" i="25"/>
  <c r="CA50" i="25" s="1"/>
  <c r="U50" i="25"/>
  <c r="DH62" i="25"/>
  <c r="DH61" i="25"/>
  <c r="CX77" i="25"/>
  <c r="DA77" i="25" s="1"/>
  <c r="DZ80" i="25"/>
  <c r="EC80" i="25" s="1"/>
  <c r="AB50" i="25"/>
  <c r="DX49" i="25"/>
  <c r="X77" i="25"/>
  <c r="AA77" i="25" s="1"/>
  <c r="X28" i="25"/>
  <c r="AA28" i="25" s="1"/>
  <c r="U21" i="25"/>
  <c r="DZ77" i="25"/>
  <c r="EC77" i="25" s="1"/>
  <c r="CV49" i="25"/>
  <c r="AZ49" i="25"/>
  <c r="BC49" i="25" s="1"/>
  <c r="V27" i="25"/>
  <c r="Y27" i="25" s="1"/>
  <c r="W28" i="25"/>
  <c r="Z28" i="25" s="1"/>
  <c r="U27" i="25"/>
  <c r="X49" i="25"/>
  <c r="AA49" i="25" s="1"/>
  <c r="G101" i="15"/>
  <c r="S49" i="25" s="1"/>
  <c r="DY50" i="25"/>
  <c r="EB50" i="25" s="1"/>
  <c r="G149" i="15"/>
  <c r="AU50" i="25" s="1"/>
  <c r="DY49" i="25"/>
  <c r="EB49" i="25" s="1"/>
  <c r="X50" i="25"/>
  <c r="AA50" i="25" s="1"/>
  <c r="G217" i="15"/>
  <c r="CT50" i="25" s="1"/>
  <c r="G148" i="15"/>
  <c r="AU49" i="25" s="1"/>
  <c r="U29" i="25"/>
  <c r="CX49" i="25"/>
  <c r="DA49" i="25" s="1"/>
  <c r="CY50" i="25"/>
  <c r="DB50" i="25" s="1"/>
  <c r="W77" i="25"/>
  <c r="Z77" i="25" s="1"/>
  <c r="V29" i="25"/>
  <c r="Y29" i="25" s="1"/>
  <c r="W79" i="25"/>
  <c r="Z79" i="25" s="1"/>
  <c r="X29" i="25"/>
  <c r="AA29" i="25" s="1"/>
  <c r="CW49" i="25"/>
  <c r="CZ49" i="25" s="1"/>
  <c r="G102" i="15"/>
  <c r="S50" i="25" s="1"/>
  <c r="G177" i="15"/>
  <c r="DY77" i="25"/>
  <c r="EB77" i="25" s="1"/>
  <c r="X79" i="25"/>
  <c r="AA79" i="25" s="1"/>
  <c r="AY50" i="25"/>
  <c r="BB50" i="25" s="1"/>
  <c r="EA49" i="25"/>
  <c r="ED49" i="25" s="1"/>
  <c r="U49" i="25"/>
  <c r="V49" i="25"/>
  <c r="Y49" i="25" s="1"/>
  <c r="CK34" i="25"/>
  <c r="CN34" i="25" s="1"/>
  <c r="G216" i="15"/>
  <c r="CT49" i="25" s="1"/>
  <c r="AY49" i="25"/>
  <c r="BB49" i="25" s="1"/>
  <c r="V79" i="25"/>
  <c r="Y79" i="25" s="1"/>
  <c r="V78" i="25"/>
  <c r="Y78" i="25" s="1"/>
  <c r="AW49" i="25"/>
  <c r="DX50" i="25"/>
  <c r="AG62" i="25"/>
  <c r="E58" i="25"/>
  <c r="G265" i="15"/>
  <c r="DV50" i="25" s="1"/>
  <c r="G176" i="15"/>
  <c r="W49" i="25"/>
  <c r="Z49" i="25" s="1"/>
  <c r="AX50" i="25"/>
  <c r="BA50" i="25" s="1"/>
  <c r="CW77" i="25"/>
  <c r="CZ77" i="25" s="1"/>
  <c r="AW50" i="25"/>
  <c r="BS49" i="25"/>
  <c r="EE49" i="25"/>
  <c r="V50" i="25"/>
  <c r="Y50" i="25" s="1"/>
  <c r="CW50" i="25"/>
  <c r="CZ50" i="25" s="1"/>
  <c r="DK34" i="25"/>
  <c r="DN34" i="25" s="1"/>
  <c r="C100" i="32" s="1"/>
  <c r="C108" i="32" s="1"/>
  <c r="H34" i="25"/>
  <c r="K34" i="25" s="1"/>
  <c r="C96" i="32" s="1"/>
  <c r="C104" i="32" s="1"/>
  <c r="BU50" i="25"/>
  <c r="W78" i="25"/>
  <c r="Z78" i="25" s="1"/>
  <c r="V77" i="25"/>
  <c r="Y77" i="25" s="1"/>
  <c r="EA80" i="25"/>
  <c r="ED80" i="25" s="1"/>
  <c r="BS50" i="25"/>
  <c r="BX49" i="25"/>
  <c r="CA49" i="25" s="1"/>
  <c r="W29" i="25"/>
  <c r="Z29" i="25" s="1"/>
  <c r="DY80" i="25"/>
  <c r="EB80" i="25" s="1"/>
  <c r="EA50" i="25"/>
  <c r="ED50" i="25" s="1"/>
  <c r="DZ50" i="25"/>
  <c r="EC50" i="25" s="1"/>
  <c r="CJ34" i="25"/>
  <c r="CM34" i="25" s="1"/>
  <c r="DZ49" i="25"/>
  <c r="EC49" i="25" s="1"/>
  <c r="I34" i="25"/>
  <c r="L34" i="25" s="1"/>
  <c r="L97" i="25" s="1"/>
  <c r="V28" i="25"/>
  <c r="Y28" i="25" s="1"/>
  <c r="V21" i="25"/>
  <c r="Y21" i="25" s="1"/>
  <c r="AB49" i="25"/>
  <c r="DL34" i="25"/>
  <c r="DO34" i="25" s="1"/>
  <c r="AX49" i="25"/>
  <c r="BA49" i="25" s="1"/>
  <c r="E61" i="25"/>
  <c r="X27" i="25"/>
  <c r="AA27" i="25" s="1"/>
  <c r="X21" i="25"/>
  <c r="AA21" i="25" s="1"/>
  <c r="G47" i="15"/>
  <c r="S21" i="25" s="1"/>
  <c r="CV50" i="25"/>
  <c r="AZ50" i="25"/>
  <c r="BC50" i="25" s="1"/>
  <c r="G264" i="15"/>
  <c r="DV49" i="25" s="1"/>
  <c r="CY77" i="25"/>
  <c r="DB77" i="25" s="1"/>
  <c r="CX50" i="25"/>
  <c r="DA50" i="25" s="1"/>
  <c r="DC50" i="25"/>
  <c r="W50" i="25"/>
  <c r="Z50" i="25" s="1"/>
  <c r="CY49" i="25"/>
  <c r="DB49" i="25" s="1"/>
  <c r="X78" i="25"/>
  <c r="AA78" i="25" s="1"/>
  <c r="CI34" i="25"/>
  <c r="CL34" i="25" s="1"/>
  <c r="C98" i="32" s="1"/>
  <c r="C106" i="32" s="1"/>
  <c r="BV50" i="25"/>
  <c r="BY50" i="25" s="1"/>
  <c r="W27" i="25"/>
  <c r="Z27" i="25" s="1"/>
  <c r="W21" i="25"/>
  <c r="Z21" i="25" s="1"/>
  <c r="J34" i="25"/>
  <c r="M34" i="25" s="1"/>
  <c r="M97" i="25" s="1"/>
  <c r="EA77" i="25"/>
  <c r="ED77" i="25" s="1"/>
  <c r="EE50" i="25"/>
  <c r="BW50" i="25"/>
  <c r="BZ50" i="25" s="1"/>
  <c r="L134" i="12"/>
  <c r="D156" i="12"/>
  <c r="U28" i="25"/>
  <c r="BW49" i="25"/>
  <c r="BZ49" i="25" s="1"/>
  <c r="BV49" i="25"/>
  <c r="BY49" i="25" s="1"/>
  <c r="DM34" i="25"/>
  <c r="DP34" i="25" s="1"/>
  <c r="E59" i="25"/>
  <c r="AG60" i="25"/>
  <c r="AG58" i="25"/>
  <c r="E62" i="25"/>
  <c r="AG59" i="25"/>
  <c r="I106" i="32"/>
  <c r="BI36" i="25"/>
  <c r="BL36" i="25" s="1"/>
  <c r="BK38" i="25"/>
  <c r="BN38" i="25" s="1"/>
  <c r="AP68" i="25"/>
  <c r="DK68" i="25"/>
  <c r="DN68" i="25" s="1"/>
  <c r="AJ43" i="25"/>
  <c r="AM43" i="25" s="1"/>
  <c r="AM98" i="25" s="1"/>
  <c r="CK69" i="25"/>
  <c r="CN69" i="25" s="1"/>
  <c r="BJ38" i="25"/>
  <c r="BM38" i="25" s="1"/>
  <c r="DQ68" i="25"/>
  <c r="DL71" i="25"/>
  <c r="DO71" i="25" s="1"/>
  <c r="N67" i="25"/>
  <c r="N101" i="25" s="1"/>
  <c r="CW67" i="25"/>
  <c r="CZ67" i="25" s="1"/>
  <c r="DM71" i="25"/>
  <c r="DP71" i="25" s="1"/>
  <c r="I67" i="25"/>
  <c r="L67" i="25" s="1"/>
  <c r="CJ68" i="25"/>
  <c r="CM68" i="25" s="1"/>
  <c r="AK70" i="25"/>
  <c r="AN70" i="25" s="1"/>
  <c r="DK70" i="25"/>
  <c r="DN70" i="25" s="1"/>
  <c r="CX67" i="25"/>
  <c r="DA67" i="25" s="1"/>
  <c r="DL69" i="25"/>
  <c r="DO69" i="25" s="1"/>
  <c r="DQ69" i="25"/>
  <c r="AP71" i="25"/>
  <c r="BI38" i="25"/>
  <c r="BL38" i="25" s="1"/>
  <c r="BX67" i="25"/>
  <c r="CA67" i="25" s="1"/>
  <c r="AX67" i="25"/>
  <c r="BA67" i="25" s="1"/>
  <c r="AL71" i="25"/>
  <c r="AO71" i="25" s="1"/>
  <c r="CI67" i="25"/>
  <c r="CL67" i="25" s="1"/>
  <c r="BJ36" i="25"/>
  <c r="BM36" i="25" s="1"/>
  <c r="BK36" i="25"/>
  <c r="BN36" i="25" s="1"/>
  <c r="DM67" i="25"/>
  <c r="DP67" i="25" s="1"/>
  <c r="CI69" i="25"/>
  <c r="CL69" i="25" s="1"/>
  <c r="DZ67" i="25"/>
  <c r="EC67" i="25" s="1"/>
  <c r="DC67" i="25"/>
  <c r="AP70" i="25"/>
  <c r="BJ34" i="25"/>
  <c r="BM34" i="25" s="1"/>
  <c r="CK71" i="25"/>
  <c r="CN71" i="25" s="1"/>
  <c r="AJ70" i="25"/>
  <c r="AM70" i="25" s="1"/>
  <c r="BW67" i="25"/>
  <c r="BZ67" i="25" s="1"/>
  <c r="V67" i="25"/>
  <c r="Y67" i="25" s="1"/>
  <c r="DM70" i="25"/>
  <c r="DP70" i="25" s="1"/>
  <c r="DL70" i="25"/>
  <c r="DO70" i="25" s="1"/>
  <c r="AL69" i="25"/>
  <c r="AO69" i="25" s="1"/>
  <c r="CI71" i="25"/>
  <c r="CL71" i="25" s="1"/>
  <c r="CJ67" i="25"/>
  <c r="CM67" i="25" s="1"/>
  <c r="BI35" i="25"/>
  <c r="BL35" i="25" s="1"/>
  <c r="BK34" i="25"/>
  <c r="BN34" i="25" s="1"/>
  <c r="AJ69" i="25"/>
  <c r="AM69" i="25" s="1"/>
  <c r="AB67" i="25"/>
  <c r="AL70" i="25"/>
  <c r="AO70" i="25" s="1"/>
  <c r="CO67" i="25"/>
  <c r="J43" i="25"/>
  <c r="M43" i="25" s="1"/>
  <c r="M98" i="25" s="1"/>
  <c r="DK71" i="25"/>
  <c r="DN71" i="25" s="1"/>
  <c r="CK68" i="25"/>
  <c r="CN68" i="25" s="1"/>
  <c r="AJ68" i="25"/>
  <c r="AM68" i="25" s="1"/>
  <c r="DL68" i="25"/>
  <c r="DO68" i="25" s="1"/>
  <c r="DM68" i="25"/>
  <c r="DP68" i="25" s="1"/>
  <c r="CJ70" i="25"/>
  <c r="CM70" i="25" s="1"/>
  <c r="J67" i="25"/>
  <c r="M67" i="25" s="1"/>
  <c r="X67" i="25"/>
  <c r="AA67" i="25" s="1"/>
  <c r="DK69" i="25"/>
  <c r="DN69" i="25" s="1"/>
  <c r="DQ67" i="25"/>
  <c r="BJ37" i="25"/>
  <c r="BM37" i="25" s="1"/>
  <c r="BI34" i="25"/>
  <c r="BL34" i="25" s="1"/>
  <c r="H67" i="25"/>
  <c r="K67" i="25" s="1"/>
  <c r="AZ67" i="25"/>
  <c r="BC67" i="25" s="1"/>
  <c r="AK69" i="25"/>
  <c r="AN69" i="25" s="1"/>
  <c r="CI68" i="25"/>
  <c r="CL68" i="25" s="1"/>
  <c r="CO69" i="25"/>
  <c r="CK70" i="25"/>
  <c r="CN70" i="25" s="1"/>
  <c r="BQ48" i="25"/>
  <c r="DF55" i="25"/>
  <c r="AE55" i="25"/>
  <c r="I55" i="25"/>
  <c r="L55" i="25" s="1"/>
  <c r="Q48" i="25"/>
  <c r="CD55" i="25"/>
  <c r="DT48" i="25"/>
  <c r="CR48" i="25"/>
  <c r="H55" i="25"/>
  <c r="K55" i="25" s="1"/>
  <c r="E96" i="32" s="1"/>
  <c r="E104" i="32" s="1"/>
  <c r="N55" i="25"/>
  <c r="E78" i="32" s="1"/>
  <c r="E86" i="32" s="1"/>
  <c r="AS48" i="25"/>
  <c r="D61" i="25"/>
  <c r="D60" i="25"/>
  <c r="F60" i="25" s="1"/>
  <c r="D59" i="25"/>
  <c r="D62" i="25"/>
  <c r="D58" i="25"/>
  <c r="B123" i="32"/>
  <c r="BI37" i="25"/>
  <c r="BL37" i="25" s="1"/>
  <c r="BJ35" i="25"/>
  <c r="BM35" i="25" s="1"/>
  <c r="AP69" i="25"/>
  <c r="EE67" i="25"/>
  <c r="DM69" i="25"/>
  <c r="DP69" i="25" s="1"/>
  <c r="CK67" i="25"/>
  <c r="CN67" i="25" s="1"/>
  <c r="CI70" i="25"/>
  <c r="CL70" i="25" s="1"/>
  <c r="CO70" i="25"/>
  <c r="DQ71" i="25"/>
  <c r="DY67" i="25"/>
  <c r="EB67" i="25" s="1"/>
  <c r="AK67" i="25"/>
  <c r="AN67" i="25" s="1"/>
  <c r="W67" i="25"/>
  <c r="Z67" i="25" s="1"/>
  <c r="AL68" i="25"/>
  <c r="AO68" i="25" s="1"/>
  <c r="AY67" i="25"/>
  <c r="BB67" i="25" s="1"/>
  <c r="CY67" i="25"/>
  <c r="DB67" i="25" s="1"/>
  <c r="CJ69" i="25"/>
  <c r="CM69" i="25" s="1"/>
  <c r="AJ67" i="25"/>
  <c r="AM67" i="25" s="1"/>
  <c r="CO71" i="25"/>
  <c r="DQ70" i="25"/>
  <c r="CJ71" i="25"/>
  <c r="CM71" i="25" s="1"/>
  <c r="AJ71" i="25"/>
  <c r="AM71" i="25" s="1"/>
  <c r="AP67" i="25"/>
  <c r="EA67" i="25"/>
  <c r="ED67" i="25" s="1"/>
  <c r="AK68" i="25"/>
  <c r="AN68" i="25" s="1"/>
  <c r="BQ43" i="25"/>
  <c r="CD43" i="25"/>
  <c r="AS43" i="25"/>
  <c r="CR43" i="25"/>
  <c r="Q43" i="25"/>
  <c r="BF43" i="25"/>
  <c r="DT43" i="25"/>
  <c r="H43" i="25"/>
  <c r="K43" i="25" s="1"/>
  <c r="K98" i="25" s="1"/>
  <c r="D96" i="32" s="1"/>
  <c r="D104" i="32" s="1"/>
  <c r="AE43" i="25"/>
  <c r="I43" i="25"/>
  <c r="L43" i="25" s="1"/>
  <c r="L98" i="25" s="1"/>
  <c r="AL43" i="25"/>
  <c r="AO43" i="25" s="1"/>
  <c r="AO98" i="25" s="1"/>
  <c r="DF43" i="25"/>
  <c r="J55" i="25"/>
  <c r="M55" i="25" s="1"/>
  <c r="BK37" i="25"/>
  <c r="BN37" i="25" s="1"/>
  <c r="DL67" i="25"/>
  <c r="DO67" i="25" s="1"/>
  <c r="BV67" i="25"/>
  <c r="BY67" i="25" s="1"/>
  <c r="BK35" i="25"/>
  <c r="BN35" i="25" s="1"/>
  <c r="AK71" i="25"/>
  <c r="AN71" i="25" s="1"/>
  <c r="DK67" i="25"/>
  <c r="DN67" i="25" s="1"/>
  <c r="CO68" i="25"/>
  <c r="DY83" i="25"/>
  <c r="EB83" i="25" s="1"/>
  <c r="DZ83" i="25"/>
  <c r="EC83" i="25" s="1"/>
  <c r="EA83" i="25"/>
  <c r="ED83" i="25" s="1"/>
  <c r="V84" i="25"/>
  <c r="Y84" i="25" s="1"/>
  <c r="W84" i="25"/>
  <c r="Z84" i="25" s="1"/>
  <c r="X84" i="25"/>
  <c r="AA84" i="25" s="1"/>
  <c r="CW84" i="25"/>
  <c r="CZ84" i="25" s="1"/>
  <c r="CY84" i="25"/>
  <c r="DB84" i="25" s="1"/>
  <c r="CX84" i="25"/>
  <c r="DA84" i="25" s="1"/>
  <c r="DZ84" i="25"/>
  <c r="EC84" i="25" s="1"/>
  <c r="EA84" i="25"/>
  <c r="ED84" i="25" s="1"/>
  <c r="DY84" i="25"/>
  <c r="EB84" i="25" s="1"/>
  <c r="X85" i="25"/>
  <c r="AA85" i="25" s="1"/>
  <c r="W85" i="25"/>
  <c r="Z85" i="25" s="1"/>
  <c r="V85" i="25"/>
  <c r="Y85" i="25" s="1"/>
  <c r="CY85" i="25"/>
  <c r="DB85" i="25" s="1"/>
  <c r="CX85" i="25"/>
  <c r="DA85" i="25" s="1"/>
  <c r="CW85" i="25"/>
  <c r="CZ85" i="25" s="1"/>
  <c r="CY86" i="25"/>
  <c r="DB86" i="25" s="1"/>
  <c r="CX86" i="25"/>
  <c r="DA86" i="25" s="1"/>
  <c r="CW86" i="25"/>
  <c r="CZ86" i="25" s="1"/>
  <c r="EA86" i="25"/>
  <c r="ED86" i="25" s="1"/>
  <c r="DY86" i="25"/>
  <c r="EB86" i="25" s="1"/>
  <c r="DZ86" i="25"/>
  <c r="EC86" i="25" s="1"/>
  <c r="V83" i="25"/>
  <c r="Y83" i="25" s="1"/>
  <c r="W83" i="25"/>
  <c r="Z83" i="25" s="1"/>
  <c r="X83" i="25"/>
  <c r="AA83" i="25" s="1"/>
  <c r="DY85" i="25"/>
  <c r="EB85" i="25" s="1"/>
  <c r="DZ85" i="25"/>
  <c r="EC85" i="25" s="1"/>
  <c r="EA85" i="25"/>
  <c r="ED85" i="25" s="1"/>
  <c r="CW83" i="25"/>
  <c r="CZ83" i="25" s="1"/>
  <c r="CX83" i="25"/>
  <c r="DA83" i="25" s="1"/>
  <c r="CY83" i="25"/>
  <c r="DB83" i="25" s="1"/>
  <c r="X86" i="25"/>
  <c r="AA86" i="25" s="1"/>
  <c r="V86" i="25"/>
  <c r="Y86" i="25" s="1"/>
  <c r="W86" i="25"/>
  <c r="Z86" i="25" s="1"/>
  <c r="D197" i="15"/>
  <c r="D245" i="15" s="1"/>
  <c r="DE59" i="25"/>
  <c r="I107" i="32"/>
  <c r="I100" i="32"/>
  <c r="DE68" i="25"/>
  <c r="CC59" i="25"/>
  <c r="AD68" i="25"/>
  <c r="I87" i="32"/>
  <c r="I80" i="32"/>
  <c r="AG56" i="25"/>
  <c r="DH56" i="25"/>
  <c r="BM42" i="25"/>
  <c r="BB42" i="25"/>
  <c r="EC42" i="25"/>
  <c r="BZ42" i="25"/>
  <c r="AN57" i="25"/>
  <c r="EC66" i="25"/>
  <c r="DO38" i="25"/>
  <c r="BB66" i="25"/>
  <c r="AN66" i="25"/>
  <c r="CM66" i="25"/>
  <c r="BZ66" i="25"/>
  <c r="Z66" i="25"/>
  <c r="DA66" i="25" s="1"/>
  <c r="DC107" i="25"/>
  <c r="BR41" i="25"/>
  <c r="Z26" i="25"/>
  <c r="Z47" i="25"/>
  <c r="EC47" i="25" s="1"/>
  <c r="EC76" i="25"/>
  <c r="Z42" i="25"/>
  <c r="AN42" i="25"/>
  <c r="DA42" i="25"/>
  <c r="DO57" i="25"/>
  <c r="CM42" i="25"/>
  <c r="DO42" i="25"/>
  <c r="DA82" i="25"/>
  <c r="DY41" i="25"/>
  <c r="BS66" i="25"/>
  <c r="DV66" i="25"/>
  <c r="BX65" i="25"/>
  <c r="CI56" i="25"/>
  <c r="CT66" i="25"/>
  <c r="C132" i="15"/>
  <c r="AJ41" i="25"/>
  <c r="P100" i="25"/>
  <c r="P113" i="25" s="1"/>
  <c r="X41" i="25"/>
  <c r="EC79" i="25"/>
  <c r="ED79" i="25"/>
  <c r="AM32" i="25"/>
  <c r="EG102" i="25"/>
  <c r="EG115" i="25" s="1"/>
  <c r="B64" i="17" s="1"/>
  <c r="B125" i="17" s="1"/>
  <c r="B183" i="17" s="1"/>
  <c r="DN66" i="25"/>
  <c r="W41" i="25"/>
  <c r="AT42" i="25"/>
  <c r="EC78" i="25"/>
  <c r="BJ41" i="25"/>
  <c r="DU90" i="25"/>
  <c r="I53" i="25"/>
  <c r="CJ53" i="25" s="1"/>
  <c r="CQ43" i="25"/>
  <c r="DS43" i="25" s="1"/>
  <c r="J53" i="25"/>
  <c r="AL53" i="25" s="1"/>
  <c r="BI41" i="25"/>
  <c r="AM57" i="25"/>
  <c r="CQ86" i="25"/>
  <c r="V41" i="25"/>
  <c r="M54" i="25"/>
  <c r="AO54" i="25" s="1"/>
  <c r="G132" i="15"/>
  <c r="CL57" i="25"/>
  <c r="DQ66" i="25"/>
  <c r="CK41" i="25"/>
  <c r="EA41" i="25"/>
  <c r="AL41" i="25"/>
  <c r="DP42" i="25"/>
  <c r="BK41" i="25"/>
  <c r="CY41" i="25"/>
  <c r="BV47" i="25"/>
  <c r="BN42" i="25"/>
  <c r="AU65" i="25"/>
  <c r="BX41" i="25"/>
  <c r="DM41" i="25"/>
  <c r="AN107" i="25"/>
  <c r="DO107" i="25" s="1"/>
  <c r="EB79" i="25"/>
  <c r="AL56" i="25"/>
  <c r="BW65" i="25"/>
  <c r="ED78" i="25"/>
  <c r="AA42" i="25"/>
  <c r="EA81" i="25"/>
  <c r="EB78" i="25"/>
  <c r="W75" i="25"/>
  <c r="DZ75" i="25" s="1"/>
  <c r="AD8" i="25"/>
  <c r="AN32" i="25"/>
  <c r="Y81" i="25"/>
  <c r="CZ81" i="25" s="1"/>
  <c r="B144" i="17"/>
  <c r="H127" i="15"/>
  <c r="EG100" i="25"/>
  <c r="EG113" i="25" s="1"/>
  <c r="B62" i="17" s="1"/>
  <c r="B123" i="17" s="1"/>
  <c r="B181" i="17" s="1"/>
  <c r="AR43" i="25"/>
  <c r="CN57" i="25"/>
  <c r="DF8" i="25"/>
  <c r="DT12" i="25" s="1"/>
  <c r="CL32" i="25"/>
  <c r="EG97" i="25"/>
  <c r="EG110" i="25" s="1"/>
  <c r="B59" i="17" s="1"/>
  <c r="B120" i="17" s="1"/>
  <c r="B178" i="17" s="1"/>
  <c r="BR65" i="25"/>
  <c r="AJ65" i="25"/>
  <c r="EB47" i="25"/>
  <c r="K41" i="25"/>
  <c r="EB41" i="25" s="1"/>
  <c r="K93" i="25"/>
  <c r="CL93" i="25" s="1"/>
  <c r="H161" i="15"/>
  <c r="DK56" i="25"/>
  <c r="K56" i="25"/>
  <c r="AM56" i="25" s="1"/>
  <c r="BL32" i="25"/>
  <c r="AZ47" i="25"/>
  <c r="AY47" i="25"/>
  <c r="AK65" i="25"/>
  <c r="H53" i="25"/>
  <c r="DK53" i="25" s="1"/>
  <c r="AX41" i="25"/>
  <c r="CW41" i="25"/>
  <c r="CI65" i="25"/>
  <c r="BE8" i="25"/>
  <c r="DN32" i="25"/>
  <c r="DL65" i="25"/>
  <c r="CN38" i="25"/>
  <c r="EG101" i="25"/>
  <c r="EG114" i="25" s="1"/>
  <c r="B63" i="17" s="1"/>
  <c r="B124" i="17" s="1"/>
  <c r="B182" i="17" s="1"/>
  <c r="BA47" i="25"/>
  <c r="DJ38" i="25"/>
  <c r="DQ38" i="25" s="1"/>
  <c r="DQ97" i="25" s="1"/>
  <c r="C82" i="32" s="1"/>
  <c r="C90" i="32" s="1"/>
  <c r="Y19" i="25"/>
  <c r="AD70" i="25"/>
  <c r="DQ54" i="25"/>
  <c r="X66" i="25"/>
  <c r="CY66" i="25" s="1"/>
  <c r="AN38" i="25"/>
  <c r="CY47" i="25"/>
  <c r="DZ47" i="25"/>
  <c r="W65" i="25"/>
  <c r="CX65" i="25" s="1"/>
  <c r="CZ82" i="25"/>
  <c r="BV41" i="25"/>
  <c r="DK41" i="25"/>
  <c r="DQ56" i="25"/>
  <c r="BV65" i="25"/>
  <c r="CC8" i="25"/>
  <c r="BW41" i="25"/>
  <c r="CJ41" i="25"/>
  <c r="DE70" i="25"/>
  <c r="AP54" i="25"/>
  <c r="AM38" i="25"/>
  <c r="EA47" i="25"/>
  <c r="CX47" i="25"/>
  <c r="CJ65" i="25"/>
  <c r="DZ65" i="25"/>
  <c r="G91" i="15"/>
  <c r="CL38" i="25"/>
  <c r="BG42" i="25"/>
  <c r="DP57" i="25"/>
  <c r="AP56" i="25"/>
  <c r="AX65" i="25"/>
  <c r="DK65" i="25"/>
  <c r="BY47" i="25"/>
  <c r="Y26" i="25"/>
  <c r="CM38" i="25"/>
  <c r="AO107" i="25"/>
  <c r="DP107" i="25" s="1"/>
  <c r="DL41" i="25"/>
  <c r="DP38" i="25"/>
  <c r="AO38" i="25"/>
  <c r="CE42" i="25"/>
  <c r="DY65" i="25"/>
  <c r="BY66" i="25"/>
  <c r="CY75" i="25"/>
  <c r="Y76" i="25"/>
  <c r="EB76" i="25" s="1"/>
  <c r="DS111" i="25"/>
  <c r="CQ85" i="25"/>
  <c r="DQ57" i="25"/>
  <c r="EA66" i="25"/>
  <c r="DE61" i="25"/>
  <c r="DM56" i="25"/>
  <c r="L41" i="25"/>
  <c r="BM41" i="25" s="1"/>
  <c r="CK65" i="25"/>
  <c r="CA42" i="25"/>
  <c r="ED42" i="25"/>
  <c r="DV65" i="25"/>
  <c r="V66" i="25"/>
  <c r="CW66" i="25" s="1"/>
  <c r="BE99" i="25"/>
  <c r="BE112" i="25" s="1"/>
  <c r="DS108" i="25"/>
  <c r="F132" i="15"/>
  <c r="X65" i="25"/>
  <c r="CY65" i="25" s="1"/>
  <c r="CN42" i="25"/>
  <c r="BC42" i="25"/>
  <c r="AT13" i="25"/>
  <c r="BR13" i="25" s="1"/>
  <c r="DZ41" i="25"/>
  <c r="AK41" i="25"/>
  <c r="H230" i="15"/>
  <c r="H278" i="15" s="1"/>
  <c r="CO53" i="25"/>
  <c r="EG105" i="25"/>
  <c r="ES93" i="25"/>
  <c r="R42" i="25"/>
  <c r="BR42" i="25" s="1"/>
  <c r="AF42" i="25"/>
  <c r="AB65" i="25"/>
  <c r="DC65" i="25" s="1"/>
  <c r="AM66" i="25"/>
  <c r="CL66" i="25"/>
  <c r="CQ99" i="25"/>
  <c r="CQ112" i="25" s="1"/>
  <c r="BP99" i="25"/>
  <c r="BP112" i="25" s="1"/>
  <c r="B79" i="17"/>
  <c r="AP66" i="25"/>
  <c r="AY41" i="25"/>
  <c r="B179" i="15"/>
  <c r="B219" i="15" s="1"/>
  <c r="B267" i="15" s="1"/>
  <c r="EE42" i="25"/>
  <c r="CK66" i="25"/>
  <c r="CC61" i="25"/>
  <c r="E132" i="15"/>
  <c r="DQ53" i="25"/>
  <c r="DB82" i="25"/>
  <c r="BM32" i="25"/>
  <c r="CO97" i="25"/>
  <c r="C80" i="32" s="1"/>
  <c r="C88" i="32" s="1"/>
  <c r="DQ65" i="25"/>
  <c r="DM65" i="25"/>
  <c r="DB42" i="25"/>
  <c r="EB66" i="25"/>
  <c r="CZ107" i="25"/>
  <c r="X25" i="25"/>
  <c r="CC99" i="25"/>
  <c r="CC112" i="25" s="1"/>
  <c r="AB66" i="25"/>
  <c r="DC66" i="25" s="1"/>
  <c r="CW47" i="25"/>
  <c r="BA66" i="25"/>
  <c r="BH33" i="25"/>
  <c r="CG33" i="25"/>
  <c r="DY82" i="25"/>
  <c r="CW82" i="25"/>
  <c r="AZ66" i="25"/>
  <c r="BX66" i="25"/>
  <c r="L56" i="25"/>
  <c r="CM56" i="25" s="1"/>
  <c r="L65" i="25"/>
  <c r="EC65" i="25" s="1"/>
  <c r="EE93" i="25"/>
  <c r="G107" i="15"/>
  <c r="G154" i="15" s="1"/>
  <c r="G182" i="15" s="1"/>
  <c r="G222" i="15" s="1"/>
  <c r="G270" i="15" s="1"/>
  <c r="DL56" i="25"/>
  <c r="AL65" i="25"/>
  <c r="DU13" i="25"/>
  <c r="G147" i="15"/>
  <c r="AU48" i="25" s="1"/>
  <c r="DG33" i="25"/>
  <c r="BG33" i="25"/>
  <c r="CE33" i="25"/>
  <c r="AF33" i="25"/>
  <c r="BF32" i="25"/>
  <c r="AE32" i="25"/>
  <c r="DF32" i="25"/>
  <c r="CD32" i="25"/>
  <c r="C56" i="25"/>
  <c r="B85" i="17"/>
  <c r="B145" i="17"/>
  <c r="AA81" i="25"/>
  <c r="BN32" i="25"/>
  <c r="M41" i="25"/>
  <c r="M56" i="25"/>
  <c r="AO32" i="25"/>
  <c r="AA19" i="25"/>
  <c r="M93" i="25"/>
  <c r="CN32" i="25"/>
  <c r="M65" i="25"/>
  <c r="DP32" i="25"/>
  <c r="BE38" i="25"/>
  <c r="B71" i="25"/>
  <c r="CC38" i="25"/>
  <c r="DE38" i="25"/>
  <c r="B62" i="25"/>
  <c r="AD38" i="25"/>
  <c r="Q65" i="25"/>
  <c r="CD65" i="25"/>
  <c r="AE65" i="25"/>
  <c r="DF65" i="25"/>
  <c r="P99" i="25"/>
  <c r="DS99" i="25"/>
  <c r="DS112" i="25" s="1"/>
  <c r="DE99" i="25"/>
  <c r="DE112" i="25" s="1"/>
  <c r="EG96" i="25"/>
  <c r="EG109" i="25" s="1"/>
  <c r="B58" i="17" s="1"/>
  <c r="B119" i="17" s="1"/>
  <c r="B177" i="17" s="1"/>
  <c r="DS109" i="25"/>
  <c r="AP57" i="25"/>
  <c r="DM66" i="25"/>
  <c r="CM32" i="25"/>
  <c r="DO32" i="25"/>
  <c r="Z81" i="25"/>
  <c r="DA81" i="25" s="1"/>
  <c r="G89" i="15"/>
  <c r="AZ65" i="25"/>
  <c r="DU65" i="25"/>
  <c r="CT65" i="25"/>
  <c r="EG99" i="25"/>
  <c r="EG112" i="25" s="1"/>
  <c r="B61" i="17" s="1"/>
  <c r="B122" i="17" s="1"/>
  <c r="B180" i="17" s="1"/>
  <c r="DI33" i="25"/>
  <c r="AP97" i="25"/>
  <c r="EB42" i="25"/>
  <c r="CL42" i="25"/>
  <c r="DN42" i="25"/>
  <c r="K54" i="25"/>
  <c r="BY42" i="25"/>
  <c r="AM42" i="25"/>
  <c r="CZ42" i="25"/>
  <c r="Y42" i="25"/>
  <c r="BA42" i="25"/>
  <c r="BL42" i="25"/>
  <c r="AD36" i="25"/>
  <c r="B69" i="25"/>
  <c r="BE36" i="25"/>
  <c r="DE36" i="25"/>
  <c r="CC36" i="25"/>
  <c r="B60" i="25"/>
  <c r="CG56" i="25"/>
  <c r="DI56" i="25"/>
  <c r="AH56" i="25"/>
  <c r="CN66" i="25"/>
  <c r="CS65" i="25"/>
  <c r="DY66" i="25"/>
  <c r="DZ81" i="25"/>
  <c r="CJ56" i="25"/>
  <c r="EE41" i="25"/>
  <c r="Z19" i="25"/>
  <c r="Z75" i="25" s="1"/>
  <c r="S29" i="25"/>
  <c r="CO65" i="25"/>
  <c r="CO41" i="25"/>
  <c r="CC58" i="25"/>
  <c r="V25" i="25"/>
  <c r="AB42" i="25"/>
  <c r="AB47" i="25" s="1"/>
  <c r="EE47" i="25" s="1"/>
  <c r="AO66" i="25"/>
  <c r="AP41" i="25"/>
  <c r="AD58" i="25"/>
  <c r="CO66" i="25"/>
  <c r="CO42" i="25"/>
  <c r="DQ42" i="25"/>
  <c r="DP66" i="25"/>
  <c r="AX47" i="25"/>
  <c r="DY81" i="25"/>
  <c r="EE65" i="25"/>
  <c r="DC41" i="25"/>
  <c r="AA47" i="25"/>
  <c r="ED47" i="25" s="1"/>
  <c r="AP42" i="25"/>
  <c r="DQ41" i="25"/>
  <c r="DK66" i="25"/>
  <c r="AJ66" i="25"/>
  <c r="AA26" i="25"/>
  <c r="CA66" i="25"/>
  <c r="AA66" i="25"/>
  <c r="DB66" i="25" s="1"/>
  <c r="CO93" i="25"/>
  <c r="N106" i="25"/>
  <c r="CO106" i="25" s="1"/>
  <c r="G90" i="15"/>
  <c r="S28" i="25"/>
  <c r="CI66" i="25"/>
  <c r="BC66" i="25"/>
  <c r="H129" i="15"/>
  <c r="H134" i="15" s="1"/>
  <c r="BV66" i="25"/>
  <c r="EG92" i="25"/>
  <c r="AR92" i="25"/>
  <c r="BE92" i="25" s="1"/>
  <c r="BP92" i="25" s="1"/>
  <c r="BY65" i="25"/>
  <c r="EB65" i="25"/>
  <c r="DN65" i="25"/>
  <c r="BA65" i="25"/>
  <c r="Y65" i="25"/>
  <c r="CL65" i="25"/>
  <c r="AM65" i="25"/>
  <c r="DB76" i="25"/>
  <c r="ED76" i="25"/>
  <c r="S85" i="25"/>
  <c r="CT85" i="25" s="1"/>
  <c r="DV85" i="25" s="1"/>
  <c r="S86" i="25"/>
  <c r="CT86" i="25" s="1"/>
  <c r="DV86" i="25" s="1"/>
  <c r="S84" i="25"/>
  <c r="CT84" i="25" s="1"/>
  <c r="DV84" i="25" s="1"/>
  <c r="CT83" i="25"/>
  <c r="DV83" i="25" s="1"/>
  <c r="BB93" i="25"/>
  <c r="Z93" i="25"/>
  <c r="L106" i="25"/>
  <c r="EQ93" i="25"/>
  <c r="CM93" i="25"/>
  <c r="BZ93" i="25"/>
  <c r="BM93" i="25"/>
  <c r="EC93" i="25"/>
  <c r="CW75" i="25"/>
  <c r="DY75" i="25"/>
  <c r="CM54" i="25"/>
  <c r="DO54" i="25"/>
  <c r="AN54" i="25"/>
  <c r="DC93" i="25"/>
  <c r="AP93" i="25"/>
  <c r="DQ93" i="25" s="1"/>
  <c r="F61" i="25" l="1"/>
  <c r="N61" i="25" s="1"/>
  <c r="K101" i="25"/>
  <c r="K114" i="25" s="1"/>
  <c r="DC99" i="25"/>
  <c r="DC112" i="25" s="1"/>
  <c r="AB99" i="25"/>
  <c r="AB112" i="25" s="1"/>
  <c r="G101" i="32"/>
  <c r="G109" i="32" s="1"/>
  <c r="G99" i="32"/>
  <c r="G107" i="32" s="1"/>
  <c r="G97" i="32"/>
  <c r="G105" i="32" s="1"/>
  <c r="AA95" i="25"/>
  <c r="AA108" i="25" s="1"/>
  <c r="Y95" i="25"/>
  <c r="Y108" i="25" s="1"/>
  <c r="K97" i="25"/>
  <c r="K110" i="25" s="1"/>
  <c r="F59" i="25"/>
  <c r="N59" i="25" s="1"/>
  <c r="EE99" i="25"/>
  <c r="G81" i="32"/>
  <c r="G89" i="32" s="1"/>
  <c r="DN97" i="25"/>
  <c r="DN110" i="25" s="1"/>
  <c r="G83" i="32"/>
  <c r="G91" i="32" s="1"/>
  <c r="G79" i="32"/>
  <c r="G87" i="32" s="1"/>
  <c r="M101" i="25"/>
  <c r="M114" i="25" s="1"/>
  <c r="BN97" i="25"/>
  <c r="BN110" i="25" s="1"/>
  <c r="AP101" i="25"/>
  <c r="AP114" i="25" s="1"/>
  <c r="BL97" i="25"/>
  <c r="BL110" i="25" s="1"/>
  <c r="AM97" i="25"/>
  <c r="AM110" i="25" s="1"/>
  <c r="N60" i="25"/>
  <c r="BK43" i="25"/>
  <c r="BN43" i="25" s="1"/>
  <c r="BN98" i="25" s="1"/>
  <c r="BJ43" i="25"/>
  <c r="BM43" i="25" s="1"/>
  <c r="BM98" i="25" s="1"/>
  <c r="BM111" i="25" s="1"/>
  <c r="BI43" i="25"/>
  <c r="BL43" i="25" s="1"/>
  <c r="BL98" i="25" s="1"/>
  <c r="BL111" i="25" s="1"/>
  <c r="CI43" i="25"/>
  <c r="CL43" i="25" s="1"/>
  <c r="CL98" i="25" s="1"/>
  <c r="D98" i="32" s="1"/>
  <c r="D106" i="32" s="1"/>
  <c r="CK43" i="25"/>
  <c r="CN43" i="25" s="1"/>
  <c r="CN98" i="25" s="1"/>
  <c r="CN111" i="25" s="1"/>
  <c r="CJ43" i="25"/>
  <c r="CM43" i="25" s="1"/>
  <c r="CM98" i="25" s="1"/>
  <c r="CM111" i="25" s="1"/>
  <c r="CE62" i="25"/>
  <c r="DG62" i="25"/>
  <c r="AF62" i="25"/>
  <c r="I62" i="25"/>
  <c r="J62" i="25"/>
  <c r="H62" i="25"/>
  <c r="CX48" i="25"/>
  <c r="DA48" i="25" s="1"/>
  <c r="DA99" i="25" s="1"/>
  <c r="DA112" i="25" s="1"/>
  <c r="CW48" i="25"/>
  <c r="CZ48" i="25" s="1"/>
  <c r="CY48" i="25"/>
  <c r="DB48" i="25" s="1"/>
  <c r="DB99" i="25" s="1"/>
  <c r="DB112" i="25" s="1"/>
  <c r="F62" i="25"/>
  <c r="V43" i="25"/>
  <c r="Y43" i="25" s="1"/>
  <c r="Y98" i="25" s="1"/>
  <c r="Y111" i="25" s="1"/>
  <c r="W43" i="25"/>
  <c r="Z43" i="25" s="1"/>
  <c r="Z98" i="25" s="1"/>
  <c r="Z111" i="25" s="1"/>
  <c r="X43" i="25"/>
  <c r="AA43" i="25" s="1"/>
  <c r="AA98" i="25" s="1"/>
  <c r="BV43" i="25"/>
  <c r="BY43" i="25" s="1"/>
  <c r="BY98" i="25" s="1"/>
  <c r="BY111" i="25" s="1"/>
  <c r="BW43" i="25"/>
  <c r="BZ43" i="25" s="1"/>
  <c r="BZ98" i="25" s="1"/>
  <c r="BZ111" i="25" s="1"/>
  <c r="BX43" i="25"/>
  <c r="CA43" i="25" s="1"/>
  <c r="CA98" i="25" s="1"/>
  <c r="CA111" i="25" s="1"/>
  <c r="CE59" i="25"/>
  <c r="AF59" i="25"/>
  <c r="DG59" i="25"/>
  <c r="H59" i="25"/>
  <c r="I59" i="25"/>
  <c r="J59" i="25"/>
  <c r="AX48" i="25"/>
  <c r="BA48" i="25" s="1"/>
  <c r="BA99" i="25" s="1"/>
  <c r="BA112" i="25" s="1"/>
  <c r="AZ48" i="25"/>
  <c r="BC48" i="25" s="1"/>
  <c r="BC99" i="25" s="1"/>
  <c r="BC112" i="25" s="1"/>
  <c r="AY48" i="25"/>
  <c r="BB48" i="25" s="1"/>
  <c r="BB99" i="25" s="1"/>
  <c r="BB112" i="25" s="1"/>
  <c r="DY48" i="25"/>
  <c r="EB48" i="25" s="1"/>
  <c r="EA48" i="25"/>
  <c r="ED48" i="25" s="1"/>
  <c r="ED99" i="25" s="1"/>
  <c r="ED112" i="25" s="1"/>
  <c r="DZ48" i="25"/>
  <c r="EC48" i="25" s="1"/>
  <c r="EC99" i="25" s="1"/>
  <c r="EC112" i="25" s="1"/>
  <c r="AP55" i="25"/>
  <c r="AK55" i="25"/>
  <c r="AN55" i="25" s="1"/>
  <c r="AJ55" i="25"/>
  <c r="AM55" i="25" s="1"/>
  <c r="AL55" i="25"/>
  <c r="AO55" i="25" s="1"/>
  <c r="DK43" i="25"/>
  <c r="DN43" i="25" s="1"/>
  <c r="DN98" i="25" s="1"/>
  <c r="D100" i="32" s="1"/>
  <c r="D108" i="32" s="1"/>
  <c r="DL43" i="25"/>
  <c r="DO43" i="25" s="1"/>
  <c r="DO98" i="25" s="1"/>
  <c r="DO111" i="25" s="1"/>
  <c r="DM43" i="25"/>
  <c r="DP43" i="25" s="1"/>
  <c r="DP98" i="25" s="1"/>
  <c r="DP111" i="25" s="1"/>
  <c r="CW43" i="25"/>
  <c r="CZ43" i="25" s="1"/>
  <c r="CZ98" i="25" s="1"/>
  <c r="D99" i="32" s="1"/>
  <c r="D107" i="32" s="1"/>
  <c r="CY43" i="25"/>
  <c r="DB43" i="25" s="1"/>
  <c r="DB98" i="25" s="1"/>
  <c r="DB111" i="25" s="1"/>
  <c r="CX43" i="25"/>
  <c r="DA43" i="25" s="1"/>
  <c r="DA98" i="25" s="1"/>
  <c r="DA111" i="25" s="1"/>
  <c r="CE60" i="25"/>
  <c r="H60" i="25"/>
  <c r="K60" i="25" s="1"/>
  <c r="DG60" i="25"/>
  <c r="AF60" i="25"/>
  <c r="J60" i="25"/>
  <c r="M60" i="25" s="1"/>
  <c r="I60" i="25"/>
  <c r="L60" i="25" s="1"/>
  <c r="CK55" i="25"/>
  <c r="CN55" i="25" s="1"/>
  <c r="CI55" i="25"/>
  <c r="CL55" i="25" s="1"/>
  <c r="E98" i="32" s="1"/>
  <c r="E106" i="32" s="1"/>
  <c r="CO55" i="25"/>
  <c r="E80" i="32" s="1"/>
  <c r="E88" i="32" s="1"/>
  <c r="CJ55" i="25"/>
  <c r="CM55" i="25" s="1"/>
  <c r="DQ55" i="25"/>
  <c r="E82" i="32" s="1"/>
  <c r="E90" i="32" s="1"/>
  <c r="DL55" i="25"/>
  <c r="DO55" i="25" s="1"/>
  <c r="DM55" i="25"/>
  <c r="DP55" i="25" s="1"/>
  <c r="DK55" i="25"/>
  <c r="DN55" i="25" s="1"/>
  <c r="E100" i="32" s="1"/>
  <c r="E108" i="32" s="1"/>
  <c r="EE101" i="25"/>
  <c r="EE114" i="25" s="1"/>
  <c r="BM97" i="25"/>
  <c r="K111" i="25"/>
  <c r="EA43" i="25"/>
  <c r="ED43" i="25" s="1"/>
  <c r="ED98" i="25" s="1"/>
  <c r="ED111" i="25" s="1"/>
  <c r="DY43" i="25"/>
  <c r="EB43" i="25" s="1"/>
  <c r="EB98" i="25" s="1"/>
  <c r="D101" i="32" s="1"/>
  <c r="D109" i="32" s="1"/>
  <c r="DZ43" i="25"/>
  <c r="EC43" i="25" s="1"/>
  <c r="EC98" i="25" s="1"/>
  <c r="EC111" i="25" s="1"/>
  <c r="AX43" i="25"/>
  <c r="BA43" i="25" s="1"/>
  <c r="BA98" i="25" s="1"/>
  <c r="BA111" i="25" s="1"/>
  <c r="AZ43" i="25"/>
  <c r="BC43" i="25" s="1"/>
  <c r="BC98" i="25" s="1"/>
  <c r="BC111" i="25" s="1"/>
  <c r="AY43" i="25"/>
  <c r="BB43" i="25" s="1"/>
  <c r="BB98" i="25" s="1"/>
  <c r="BB111" i="25" s="1"/>
  <c r="CE58" i="25"/>
  <c r="DG58" i="25"/>
  <c r="J58" i="25"/>
  <c r="AF58" i="25"/>
  <c r="I58" i="25"/>
  <c r="H58" i="25"/>
  <c r="CE61" i="25"/>
  <c r="DG61" i="25"/>
  <c r="AF61" i="25"/>
  <c r="H61" i="25"/>
  <c r="J61" i="25"/>
  <c r="I61" i="25"/>
  <c r="W48" i="25"/>
  <c r="Z48" i="25" s="1"/>
  <c r="Z99" i="25" s="1"/>
  <c r="V48" i="25"/>
  <c r="Y48" i="25" s="1"/>
  <c r="X48" i="25"/>
  <c r="AA48" i="25" s="1"/>
  <c r="AA99" i="25" s="1"/>
  <c r="AA112" i="25" s="1"/>
  <c r="BX48" i="25"/>
  <c r="CA48" i="25" s="1"/>
  <c r="CA99" i="25" s="1"/>
  <c r="CA112" i="25" s="1"/>
  <c r="BW48" i="25"/>
  <c r="BZ48" i="25" s="1"/>
  <c r="BZ99" i="25" s="1"/>
  <c r="BZ112" i="25" s="1"/>
  <c r="BV48" i="25"/>
  <c r="BY48" i="25" s="1"/>
  <c r="BY99" i="25" s="1"/>
  <c r="BY112" i="25" s="1"/>
  <c r="F58" i="25"/>
  <c r="I101" i="32"/>
  <c r="I109" i="32" s="1"/>
  <c r="I108" i="32"/>
  <c r="I81" i="32"/>
  <c r="I88" i="32"/>
  <c r="CX75" i="25"/>
  <c r="EC101" i="25"/>
  <c r="EC114" i="25" s="1"/>
  <c r="DP97" i="25"/>
  <c r="DP110" i="25" s="1"/>
  <c r="EB81" i="25"/>
  <c r="DA47" i="25"/>
  <c r="DO97" i="25"/>
  <c r="DO110" i="25" s="1"/>
  <c r="BZ47" i="25"/>
  <c r="BB47" i="25"/>
  <c r="CM109" i="25"/>
  <c r="DO109" i="25"/>
  <c r="DM53" i="25"/>
  <c r="BN114" i="25"/>
  <c r="BB113" i="25"/>
  <c r="CA108" i="25"/>
  <c r="CK53" i="25"/>
  <c r="CI53" i="25"/>
  <c r="BL93" i="25"/>
  <c r="DQ101" i="25"/>
  <c r="DQ114" i="25" s="1"/>
  <c r="EP93" i="25"/>
  <c r="DN101" i="25"/>
  <c r="DN114" i="25" s="1"/>
  <c r="DL53" i="25"/>
  <c r="EE111" i="25"/>
  <c r="DO112" i="25"/>
  <c r="DB110" i="25"/>
  <c r="L111" i="25"/>
  <c r="AO115" i="25"/>
  <c r="CO109" i="25"/>
  <c r="DN108" i="25"/>
  <c r="Y75" i="25"/>
  <c r="Y102" i="25" s="1"/>
  <c r="DO41" i="25"/>
  <c r="M111" i="25"/>
  <c r="EB113" i="25"/>
  <c r="ED109" i="25"/>
  <c r="BM112" i="25"/>
  <c r="AP108" i="25"/>
  <c r="EC110" i="25"/>
  <c r="ES115" i="25"/>
  <c r="AM108" i="25"/>
  <c r="AB110" i="25"/>
  <c r="L109" i="25"/>
  <c r="DB108" i="25"/>
  <c r="CO115" i="25"/>
  <c r="DN115" i="25"/>
  <c r="CL112" i="25"/>
  <c r="BC115" i="25"/>
  <c r="L112" i="25"/>
  <c r="BL115" i="25"/>
  <c r="AB113" i="25"/>
  <c r="ED110" i="25"/>
  <c r="AP115" i="25"/>
  <c r="AN109" i="25"/>
  <c r="CO111" i="25"/>
  <c r="DO115" i="25"/>
  <c r="CN112" i="25"/>
  <c r="Z110" i="25"/>
  <c r="BA108" i="25"/>
  <c r="CL108" i="25"/>
  <c r="BN115" i="25"/>
  <c r="DA110" i="25"/>
  <c r="CM115" i="25"/>
  <c r="BM115" i="25"/>
  <c r="AO108" i="25"/>
  <c r="N110" i="25"/>
  <c r="ED113" i="25"/>
  <c r="BC110" i="25"/>
  <c r="BY110" i="25"/>
  <c r="BN109" i="25"/>
  <c r="CA115" i="25"/>
  <c r="BY109" i="25"/>
  <c r="BN112" i="25"/>
  <c r="CL115" i="25"/>
  <c r="BC109" i="25"/>
  <c r="K112" i="25"/>
  <c r="M112" i="25"/>
  <c r="BY113" i="25"/>
  <c r="AM109" i="25"/>
  <c r="BL112" i="25"/>
  <c r="AM115" i="25"/>
  <c r="DQ108" i="25"/>
  <c r="EE110" i="25"/>
  <c r="CA113" i="25"/>
  <c r="AA113" i="25"/>
  <c r="BN108" i="25"/>
  <c r="AO97" i="25"/>
  <c r="AO110" i="25" s="1"/>
  <c r="CM65" i="25"/>
  <c r="CM101" i="25" s="1"/>
  <c r="CM114" i="25" s="1"/>
  <c r="AO111" i="25"/>
  <c r="CN109" i="25"/>
  <c r="BZ110" i="25"/>
  <c r="CM112" i="25"/>
  <c r="BC108" i="25"/>
  <c r="BY108" i="25"/>
  <c r="BZ109" i="25"/>
  <c r="AB108" i="25"/>
  <c r="M108" i="25"/>
  <c r="DA109" i="25"/>
  <c r="BM109" i="25"/>
  <c r="AB109" i="25"/>
  <c r="DQ115" i="25"/>
  <c r="DN109" i="25"/>
  <c r="K108" i="25"/>
  <c r="CN108" i="25"/>
  <c r="M109" i="25"/>
  <c r="DP115" i="25"/>
  <c r="CN115" i="25"/>
  <c r="BL114" i="25"/>
  <c r="BB108" i="25"/>
  <c r="Y93" i="25"/>
  <c r="AM93" i="25" s="1"/>
  <c r="DN93" i="25" s="1"/>
  <c r="K106" i="25"/>
  <c r="CL106" i="25" s="1"/>
  <c r="L53" i="25"/>
  <c r="DO53" i="25" s="1"/>
  <c r="AN97" i="25"/>
  <c r="AN110" i="25" s="1"/>
  <c r="CN54" i="25"/>
  <c r="AK53" i="25"/>
  <c r="AJ53" i="25"/>
  <c r="ES109" i="25"/>
  <c r="Y25" i="25"/>
  <c r="Y96" i="25" s="1"/>
  <c r="M110" i="25"/>
  <c r="EB93" i="25"/>
  <c r="BY93" i="25"/>
  <c r="BA41" i="25"/>
  <c r="DC111" i="25"/>
  <c r="DN112" i="25"/>
  <c r="L108" i="25"/>
  <c r="DP112" i="25"/>
  <c r="DP109" i="25"/>
  <c r="EB110" i="25"/>
  <c r="AP111" i="25"/>
  <c r="CO112" i="25"/>
  <c r="DC110" i="25"/>
  <c r="BA115" i="25"/>
  <c r="CO108" i="25"/>
  <c r="AN108" i="25"/>
  <c r="AM112" i="25"/>
  <c r="BN113" i="25"/>
  <c r="M115" i="25"/>
  <c r="AO112" i="25"/>
  <c r="BA109" i="25"/>
  <c r="BB109" i="25"/>
  <c r="DO108" i="25"/>
  <c r="L115" i="25"/>
  <c r="DC113" i="25"/>
  <c r="DB109" i="25"/>
  <c r="N109" i="25"/>
  <c r="AB115" i="25"/>
  <c r="DA108" i="25"/>
  <c r="AN112" i="25"/>
  <c r="BZ108" i="25"/>
  <c r="Y113" i="25"/>
  <c r="CL109" i="25"/>
  <c r="BZ115" i="25"/>
  <c r="K109" i="25"/>
  <c r="BL109" i="25"/>
  <c r="EE113" i="25"/>
  <c r="DA113" i="25"/>
  <c r="K115" i="25"/>
  <c r="EB108" i="25"/>
  <c r="CZ108" i="25"/>
  <c r="CA110" i="25"/>
  <c r="DC108" i="25"/>
  <c r="EE115" i="25"/>
  <c r="BA110" i="25"/>
  <c r="N111" i="25"/>
  <c r="BZ41" i="25"/>
  <c r="ES108" i="25"/>
  <c r="AB111" i="25"/>
  <c r="N114" i="25"/>
  <c r="DQ111" i="25"/>
  <c r="AM111" i="25"/>
  <c r="AN111" i="25"/>
  <c r="BA93" i="25"/>
  <c r="BY115" i="25"/>
  <c r="N115" i="25"/>
  <c r="AA110" i="25"/>
  <c r="BL108" i="25"/>
  <c r="CA109" i="25"/>
  <c r="BM113" i="25"/>
  <c r="CZ109" i="25"/>
  <c r="BB110" i="25"/>
  <c r="BL113" i="25"/>
  <c r="Z113" i="25"/>
  <c r="CZ113" i="25"/>
  <c r="DQ112" i="25"/>
  <c r="AP109" i="25"/>
  <c r="EC109" i="25"/>
  <c r="EB109" i="25"/>
  <c r="N108" i="25"/>
  <c r="BM108" i="25"/>
  <c r="BZ113" i="25"/>
  <c r="AP112" i="25"/>
  <c r="DC109" i="25"/>
  <c r="DC115" i="25"/>
  <c r="CZ110" i="25"/>
  <c r="CM108" i="25"/>
  <c r="AO109" i="25"/>
  <c r="BC113" i="25"/>
  <c r="DP108" i="25"/>
  <c r="EE108" i="25"/>
  <c r="AN115" i="25"/>
  <c r="EC108" i="25"/>
  <c r="DQ109" i="25"/>
  <c r="DB113" i="25"/>
  <c r="ED108" i="25"/>
  <c r="Y110" i="25"/>
  <c r="BB115" i="25"/>
  <c r="EE109" i="25"/>
  <c r="N112" i="25"/>
  <c r="EC113" i="25"/>
  <c r="BA113" i="25"/>
  <c r="BM114" i="25"/>
  <c r="DA41" i="25"/>
  <c r="ES111" i="25"/>
  <c r="CN97" i="25"/>
  <c r="CN110" i="25" s="1"/>
  <c r="L110" i="25"/>
  <c r="DP54" i="25"/>
  <c r="L101" i="25"/>
  <c r="L114" i="25" s="1"/>
  <c r="Y41" i="25"/>
  <c r="BA101" i="25"/>
  <c r="BA114" i="25" s="1"/>
  <c r="DN56" i="25"/>
  <c r="BL41" i="25"/>
  <c r="BB65" i="25"/>
  <c r="BB101" i="25" s="1"/>
  <c r="BB114" i="25" s="1"/>
  <c r="CL56" i="25"/>
  <c r="BY41" i="25"/>
  <c r="DQ110" i="25"/>
  <c r="AN65" i="25"/>
  <c r="AN101" i="25" s="1"/>
  <c r="AN114" i="25" s="1"/>
  <c r="AM41" i="25"/>
  <c r="Z65" i="25"/>
  <c r="DA65" i="25" s="1"/>
  <c r="DA101" i="25" s="1"/>
  <c r="DO65" i="25"/>
  <c r="DO101" i="25" s="1"/>
  <c r="DO114" i="25" s="1"/>
  <c r="CL41" i="25"/>
  <c r="K53" i="25"/>
  <c r="AM53" i="25" s="1"/>
  <c r="DN41" i="25"/>
  <c r="BY101" i="25"/>
  <c r="BY114" i="25" s="1"/>
  <c r="ES97" i="25"/>
  <c r="ES110" i="25" s="1"/>
  <c r="CL97" i="25"/>
  <c r="CL110" i="25" s="1"/>
  <c r="BZ65" i="25"/>
  <c r="BZ101" i="25" s="1"/>
  <c r="BZ114" i="25" s="1"/>
  <c r="CZ41" i="25"/>
  <c r="CZ76" i="25"/>
  <c r="AN56" i="25"/>
  <c r="G175" i="15"/>
  <c r="G215" i="15" s="1"/>
  <c r="G263" i="15" s="1"/>
  <c r="DV48" i="25" s="1"/>
  <c r="H78" i="32"/>
  <c r="H86" i="32" s="1"/>
  <c r="BB41" i="25"/>
  <c r="CM97" i="25"/>
  <c r="CM110" i="25" s="1"/>
  <c r="Z41" i="25"/>
  <c r="CM41" i="25"/>
  <c r="EC41" i="25"/>
  <c r="BC47" i="25"/>
  <c r="Z95" i="25"/>
  <c r="EQ95" i="25" s="1"/>
  <c r="CO110" i="25"/>
  <c r="DO56" i="25"/>
  <c r="AM101" i="25"/>
  <c r="AM114" i="25" s="1"/>
  <c r="AN41" i="25"/>
  <c r="AP110" i="25"/>
  <c r="DB47" i="25"/>
  <c r="CO101" i="25"/>
  <c r="CO114" i="25" s="1"/>
  <c r="CS42" i="25"/>
  <c r="DU42" i="25" s="1"/>
  <c r="CL101" i="25"/>
  <c r="H98" i="32" s="1"/>
  <c r="H106" i="32" s="1"/>
  <c r="EB101" i="25"/>
  <c r="H101" i="32" s="1"/>
  <c r="DC101" i="25"/>
  <c r="H81" i="32" s="1"/>
  <c r="CA47" i="25"/>
  <c r="AB101" i="25"/>
  <c r="AB114" i="25" s="1"/>
  <c r="EC81" i="25"/>
  <c r="DE71" i="25"/>
  <c r="CC71" i="25"/>
  <c r="AD71" i="25"/>
  <c r="CN56" i="25"/>
  <c r="DP56" i="25"/>
  <c r="AO56" i="25"/>
  <c r="DE60" i="25"/>
  <c r="AD60" i="25"/>
  <c r="CC60" i="25"/>
  <c r="CC69" i="25"/>
  <c r="DE69" i="25"/>
  <c r="AD69" i="25"/>
  <c r="AM54" i="25"/>
  <c r="CL54" i="25"/>
  <c r="DN54" i="25"/>
  <c r="DE62" i="25"/>
  <c r="CC62" i="25"/>
  <c r="AD62" i="25"/>
  <c r="M106" i="25"/>
  <c r="BN93" i="25"/>
  <c r="BC93" i="25"/>
  <c r="ED93" i="25"/>
  <c r="AA93" i="25"/>
  <c r="CA93" i="25"/>
  <c r="ER93" i="25"/>
  <c r="CN93" i="25"/>
  <c r="CN41" i="25"/>
  <c r="AA41" i="25"/>
  <c r="DP41" i="25"/>
  <c r="BN41" i="25"/>
  <c r="AO41" i="25"/>
  <c r="DB41" i="25"/>
  <c r="CA41" i="25"/>
  <c r="ED41" i="25"/>
  <c r="M53" i="25"/>
  <c r="BC41" i="25"/>
  <c r="P112" i="25"/>
  <c r="AD99" i="25"/>
  <c r="DT65" i="25"/>
  <c r="BQ65" i="25"/>
  <c r="AS65" i="25"/>
  <c r="CR65" i="25"/>
  <c r="AA75" i="25"/>
  <c r="AA25" i="25"/>
  <c r="AA96" i="25" s="1"/>
  <c r="DF56" i="25"/>
  <c r="CD56" i="25"/>
  <c r="AE56" i="25"/>
  <c r="DC47" i="25"/>
  <c r="Z25" i="25"/>
  <c r="Z96" i="25" s="1"/>
  <c r="EQ96" i="25" s="1"/>
  <c r="EQ109" i="25" s="1"/>
  <c r="F119" i="17" s="1"/>
  <c r="DP65" i="25"/>
  <c r="DP101" i="25" s="1"/>
  <c r="DP114" i="25" s="1"/>
  <c r="AO65" i="25"/>
  <c r="AO101" i="25" s="1"/>
  <c r="AO114" i="25" s="1"/>
  <c r="CN65" i="25"/>
  <c r="CN101" i="25" s="1"/>
  <c r="CN114" i="25" s="1"/>
  <c r="AA65" i="25"/>
  <c r="CA65" i="25"/>
  <c r="CA101" i="25" s="1"/>
  <c r="ED65" i="25"/>
  <c r="ED101" i="25" s="1"/>
  <c r="ED114" i="25" s="1"/>
  <c r="BC65" i="25"/>
  <c r="BC101" i="25" s="1"/>
  <c r="ED81" i="25"/>
  <c r="DB81" i="25"/>
  <c r="EE106" i="25"/>
  <c r="ES106" i="25"/>
  <c r="AB106" i="25"/>
  <c r="DC106" i="25" s="1"/>
  <c r="Z102" i="25"/>
  <c r="EC75" i="25"/>
  <c r="DA75" i="25"/>
  <c r="DA102" i="25" s="1"/>
  <c r="DA115" i="25" s="1"/>
  <c r="AN93" i="25"/>
  <c r="DO93" i="25" s="1"/>
  <c r="DA93" i="25"/>
  <c r="Y101" i="25"/>
  <c r="CZ65" i="25"/>
  <c r="CZ101" i="25" s="1"/>
  <c r="BM106" i="25"/>
  <c r="EQ106" i="25"/>
  <c r="CM106" i="25"/>
  <c r="BZ106" i="25"/>
  <c r="Z106" i="25"/>
  <c r="BB106" i="25"/>
  <c r="EC106" i="25"/>
  <c r="M61" i="25" l="1"/>
  <c r="K61" i="25"/>
  <c r="L61" i="25"/>
  <c r="H96" i="32"/>
  <c r="H104" i="32" s="1"/>
  <c r="ES99" i="25"/>
  <c r="ES112" i="25" s="1"/>
  <c r="EP95" i="25"/>
  <c r="EP108" i="25" s="1"/>
  <c r="F57" i="17" s="1"/>
  <c r="K59" i="25"/>
  <c r="ER95" i="25"/>
  <c r="ER108" i="25" s="1"/>
  <c r="F176" i="17" s="1"/>
  <c r="M59" i="25"/>
  <c r="EE112" i="25"/>
  <c r="L59" i="25"/>
  <c r="CL111" i="25"/>
  <c r="BN103" i="25"/>
  <c r="BN116" i="25" s="1"/>
  <c r="F142" i="17" s="1"/>
  <c r="CZ111" i="25"/>
  <c r="BM103" i="25"/>
  <c r="BM116" i="25" s="1"/>
  <c r="F82" i="17" s="1"/>
  <c r="EE103" i="25"/>
  <c r="EE116" i="25" s="1"/>
  <c r="EB111" i="25"/>
  <c r="DN111" i="25"/>
  <c r="H83" i="32"/>
  <c r="H91" i="32" s="1"/>
  <c r="BL103" i="25"/>
  <c r="BL116" i="25" s="1"/>
  <c r="F22" i="17" s="1"/>
  <c r="EQ99" i="25"/>
  <c r="EQ112" i="25" s="1"/>
  <c r="F122" i="17" s="1"/>
  <c r="BN111" i="25"/>
  <c r="Z112" i="25"/>
  <c r="BM110" i="25"/>
  <c r="ER99" i="25"/>
  <c r="ER112" i="25" s="1"/>
  <c r="F180" i="17" s="1"/>
  <c r="E97" i="32"/>
  <c r="E105" i="32" s="1"/>
  <c r="Y99" i="25"/>
  <c r="DL58" i="25"/>
  <c r="DK58" i="25"/>
  <c r="DM58" i="25"/>
  <c r="DI58" i="25"/>
  <c r="DQ58" i="25" s="1"/>
  <c r="CJ60" i="25"/>
  <c r="CI60" i="25"/>
  <c r="CK60" i="25"/>
  <c r="CG60" i="25"/>
  <c r="CO60" i="25" s="1"/>
  <c r="DL59" i="25"/>
  <c r="DK59" i="25"/>
  <c r="DM59" i="25"/>
  <c r="DI59" i="25"/>
  <c r="DQ59" i="25" s="1"/>
  <c r="D97" i="32"/>
  <c r="D105" i="32" s="1"/>
  <c r="EP98" i="25"/>
  <c r="EP111" i="25" s="1"/>
  <c r="F60" i="17" s="1"/>
  <c r="CK62" i="25"/>
  <c r="CI62" i="25"/>
  <c r="CJ62" i="25"/>
  <c r="CG62" i="25"/>
  <c r="AJ61" i="25"/>
  <c r="AL61" i="25"/>
  <c r="AK61" i="25"/>
  <c r="AH61" i="25"/>
  <c r="AP61" i="25" s="1"/>
  <c r="CK58" i="25"/>
  <c r="CI58" i="25"/>
  <c r="CJ58" i="25"/>
  <c r="CG58" i="25"/>
  <c r="CO58" i="25" s="1"/>
  <c r="AJ60" i="25"/>
  <c r="AK60" i="25"/>
  <c r="AL60" i="25"/>
  <c r="AH60" i="25"/>
  <c r="AP60" i="25" s="1"/>
  <c r="EB99" i="25"/>
  <c r="EB112" i="25" s="1"/>
  <c r="E101" i="32"/>
  <c r="E109" i="32" s="1"/>
  <c r="AJ59" i="25"/>
  <c r="AK59" i="25"/>
  <c r="AL59" i="25"/>
  <c r="AH59" i="25"/>
  <c r="AP59" i="25" s="1"/>
  <c r="K62" i="25"/>
  <c r="M62" i="25"/>
  <c r="L62" i="25"/>
  <c r="N62" i="25"/>
  <c r="CZ99" i="25"/>
  <c r="CZ112" i="25" s="1"/>
  <c r="E99" i="32"/>
  <c r="E107" i="32" s="1"/>
  <c r="DL61" i="25"/>
  <c r="DK61" i="25"/>
  <c r="DM61" i="25"/>
  <c r="DI61" i="25"/>
  <c r="DQ61" i="25" s="1"/>
  <c r="AL58" i="25"/>
  <c r="AJ58" i="25"/>
  <c r="AK58" i="25"/>
  <c r="AH58" i="25"/>
  <c r="AP58" i="25" s="1"/>
  <c r="DK60" i="25"/>
  <c r="DL60" i="25"/>
  <c r="DM60" i="25"/>
  <c r="DI60" i="25"/>
  <c r="DQ60" i="25" s="1"/>
  <c r="CK59" i="25"/>
  <c r="CJ59" i="25"/>
  <c r="CI59" i="25"/>
  <c r="CG59" i="25"/>
  <c r="CO59" i="25" s="1"/>
  <c r="ER98" i="25"/>
  <c r="ER111" i="25" s="1"/>
  <c r="F179" i="17" s="1"/>
  <c r="AL62" i="25"/>
  <c r="AK62" i="25"/>
  <c r="AJ62" i="25"/>
  <c r="AH62" i="25"/>
  <c r="AP62" i="25" s="1"/>
  <c r="AA111" i="25"/>
  <c r="M58" i="25"/>
  <c r="L58" i="25"/>
  <c r="K58" i="25"/>
  <c r="N58" i="25"/>
  <c r="CJ61" i="25"/>
  <c r="CK61" i="25"/>
  <c r="CI61" i="25"/>
  <c r="CG61" i="25"/>
  <c r="CO61" i="25" s="1"/>
  <c r="EQ98" i="25"/>
  <c r="EQ111" i="25" s="1"/>
  <c r="F121" i="17" s="1"/>
  <c r="DL62" i="25"/>
  <c r="DK62" i="25"/>
  <c r="DM62" i="25"/>
  <c r="DI62" i="25"/>
  <c r="I89" i="32"/>
  <c r="I82" i="32"/>
  <c r="CZ75" i="25"/>
  <c r="CZ102" i="25" s="1"/>
  <c r="CZ115" i="25" s="1"/>
  <c r="CZ93" i="25"/>
  <c r="H100" i="32"/>
  <c r="H108" i="32" s="1"/>
  <c r="H82" i="32"/>
  <c r="H90" i="32" s="1"/>
  <c r="CM53" i="25"/>
  <c r="EP106" i="25"/>
  <c r="EB75" i="25"/>
  <c r="EB102" i="25" s="1"/>
  <c r="EB115" i="25" s="1"/>
  <c r="CT48" i="25"/>
  <c r="EB106" i="25"/>
  <c r="BL106" i="25"/>
  <c r="DN53" i="25"/>
  <c r="ER97" i="25"/>
  <c r="ER110" i="25" s="1"/>
  <c r="F178" i="17" s="1"/>
  <c r="Y109" i="25"/>
  <c r="EP96" i="25"/>
  <c r="EP109" i="25" s="1"/>
  <c r="F58" i="17" s="1"/>
  <c r="AN53" i="25"/>
  <c r="BA103" i="25"/>
  <c r="BA116" i="25" s="1"/>
  <c r="F21" i="17" s="1"/>
  <c r="BA106" i="25"/>
  <c r="BY106" i="25"/>
  <c r="H80" i="32"/>
  <c r="H88" i="32" s="1"/>
  <c r="BY103" i="25"/>
  <c r="BY116" i="25" s="1"/>
  <c r="F23" i="17" s="1"/>
  <c r="Y106" i="25"/>
  <c r="CZ106" i="25" s="1"/>
  <c r="BB103" i="25"/>
  <c r="BB116" i="25" s="1"/>
  <c r="F81" i="17" s="1"/>
  <c r="DC114" i="25"/>
  <c r="CL53" i="25"/>
  <c r="Z101" i="25"/>
  <c r="Z114" i="25" s="1"/>
  <c r="Z108" i="25"/>
  <c r="BZ103" i="25"/>
  <c r="BZ116" i="25" s="1"/>
  <c r="F83" i="17" s="1"/>
  <c r="EQ97" i="25"/>
  <c r="EQ110" i="25" s="1"/>
  <c r="F120" i="17" s="1"/>
  <c r="EP97" i="25"/>
  <c r="EP110" i="25" s="1"/>
  <c r="F59" i="17" s="1"/>
  <c r="CL114" i="25"/>
  <c r="DC103" i="25"/>
  <c r="DC116" i="25" s="1"/>
  <c r="BC114" i="25"/>
  <c r="BC103" i="25"/>
  <c r="BC116" i="25" s="1"/>
  <c r="F141" i="17" s="1"/>
  <c r="EC102" i="25"/>
  <c r="EC115" i="25" s="1"/>
  <c r="EB114" i="25"/>
  <c r="Z109" i="25"/>
  <c r="CA114" i="25"/>
  <c r="CA103" i="25"/>
  <c r="CA116" i="25" s="1"/>
  <c r="F143" i="17" s="1"/>
  <c r="ES101" i="25"/>
  <c r="ES114" i="25" s="1"/>
  <c r="AB103" i="25"/>
  <c r="AB116" i="25" s="1"/>
  <c r="H79" i="32"/>
  <c r="D14" i="32" s="1"/>
  <c r="AA109" i="25"/>
  <c r="ER96" i="25"/>
  <c r="ER109" i="25" s="1"/>
  <c r="F177" i="17" s="1"/>
  <c r="AA101" i="25"/>
  <c r="DB65" i="25"/>
  <c r="DB101" i="25" s="1"/>
  <c r="DB114" i="25" s="1"/>
  <c r="AD112" i="25"/>
  <c r="AR99" i="25"/>
  <c r="AR112" i="25" s="1"/>
  <c r="AA102" i="25"/>
  <c r="AA115" i="25" s="1"/>
  <c r="ED75" i="25"/>
  <c r="ED102" i="25" s="1"/>
  <c r="ED115" i="25" s="1"/>
  <c r="DB75" i="25"/>
  <c r="DB102" i="25" s="1"/>
  <c r="DB115" i="25" s="1"/>
  <c r="CN53" i="25"/>
  <c r="DP53" i="25"/>
  <c r="AO53" i="25"/>
  <c r="DB93" i="25"/>
  <c r="AO93" i="25"/>
  <c r="DP93" i="25" s="1"/>
  <c r="ER106" i="25"/>
  <c r="CA106" i="25"/>
  <c r="BN106" i="25"/>
  <c r="BC106" i="25"/>
  <c r="ED106" i="25"/>
  <c r="AA106" i="25"/>
  <c r="CN106" i="25"/>
  <c r="AP106" i="25"/>
  <c r="DQ106" i="25" s="1"/>
  <c r="EP101" i="25"/>
  <c r="EP114" i="25" s="1"/>
  <c r="F63" i="17" s="1"/>
  <c r="AN106" i="25"/>
  <c r="DO106" i="25" s="1"/>
  <c r="DA106" i="25"/>
  <c r="CZ114" i="25"/>
  <c r="H99" i="32"/>
  <c r="Y114" i="25"/>
  <c r="H97" i="32"/>
  <c r="Z115" i="25"/>
  <c r="EQ108" i="25"/>
  <c r="F118" i="17" s="1"/>
  <c r="H109" i="32"/>
  <c r="Y115" i="25"/>
  <c r="H89" i="32"/>
  <c r="D16" i="32"/>
  <c r="DA114" i="25"/>
  <c r="DA103" i="25"/>
  <c r="DA116" i="25" s="1"/>
  <c r="F85" i="17" s="1"/>
  <c r="E18" i="32" l="1"/>
  <c r="E66" i="32" s="1"/>
  <c r="D18" i="32"/>
  <c r="D66" i="32" s="1"/>
  <c r="F96" i="32"/>
  <c r="AO61" i="25"/>
  <c r="AM61" i="25"/>
  <c r="M100" i="25"/>
  <c r="M103" i="25" s="1"/>
  <c r="M116" i="25" s="1"/>
  <c r="F138" i="17" s="1"/>
  <c r="H138" i="17" s="1"/>
  <c r="AN59" i="25"/>
  <c r="AM59" i="25"/>
  <c r="AO62" i="25"/>
  <c r="AP100" i="25"/>
  <c r="AP103" i="25" s="1"/>
  <c r="AP116" i="25" s="1"/>
  <c r="F140" i="17" s="1"/>
  <c r="L100" i="25"/>
  <c r="L113" i="25" s="1"/>
  <c r="AO59" i="25"/>
  <c r="AM60" i="25"/>
  <c r="AN58" i="25"/>
  <c r="DQ62" i="25"/>
  <c r="F82" i="32" s="1"/>
  <c r="DP62" i="25"/>
  <c r="DN62" i="25"/>
  <c r="DO62" i="25"/>
  <c r="AM62" i="25"/>
  <c r="AM58" i="25"/>
  <c r="AO60" i="25"/>
  <c r="CL58" i="25"/>
  <c r="CN58" i="25"/>
  <c r="CM58" i="25"/>
  <c r="DP59" i="25"/>
  <c r="DN59" i="25"/>
  <c r="DO59" i="25"/>
  <c r="F78" i="32"/>
  <c r="N100" i="25"/>
  <c r="EP99" i="25"/>
  <c r="EP112" i="25" s="1"/>
  <c r="F61" i="17" s="1"/>
  <c r="Y112" i="25"/>
  <c r="Y103" i="25"/>
  <c r="Y116" i="25" s="1"/>
  <c r="F19" i="17" s="1"/>
  <c r="DO61" i="25"/>
  <c r="DN61" i="25"/>
  <c r="DP61" i="25"/>
  <c r="K100" i="25"/>
  <c r="K103" i="25" s="1"/>
  <c r="K116" i="25" s="1"/>
  <c r="F18" i="17" s="1"/>
  <c r="H18" i="17" s="1"/>
  <c r="CN61" i="25"/>
  <c r="CM61" i="25"/>
  <c r="CL61" i="25"/>
  <c r="AN62" i="25"/>
  <c r="CN59" i="25"/>
  <c r="CM59" i="25"/>
  <c r="CL59" i="25"/>
  <c r="DP60" i="25"/>
  <c r="DO60" i="25"/>
  <c r="DN60" i="25"/>
  <c r="AO58" i="25"/>
  <c r="AN60" i="25"/>
  <c r="AN61" i="25"/>
  <c r="CO62" i="25"/>
  <c r="CO100" i="25" s="1"/>
  <c r="CN62" i="25"/>
  <c r="CM62" i="25"/>
  <c r="CL62" i="25"/>
  <c r="CM60" i="25"/>
  <c r="CL60" i="25"/>
  <c r="CN60" i="25"/>
  <c r="DP58" i="25"/>
  <c r="DN58" i="25"/>
  <c r="DO58" i="25"/>
  <c r="I90" i="32"/>
  <c r="I83" i="32"/>
  <c r="I91" i="32" s="1"/>
  <c r="EP102" i="25"/>
  <c r="EP115" i="25" s="1"/>
  <c r="F64" i="17" s="1"/>
  <c r="CZ103" i="25"/>
  <c r="CZ116" i="25" s="1"/>
  <c r="F25" i="17" s="1"/>
  <c r="EQ102" i="25"/>
  <c r="EQ115" i="25" s="1"/>
  <c r="F125" i="17" s="1"/>
  <c r="EC103" i="25"/>
  <c r="EC116" i="25" s="1"/>
  <c r="F87" i="17" s="1"/>
  <c r="EB103" i="25"/>
  <c r="EB116" i="25" s="1"/>
  <c r="F27" i="17" s="1"/>
  <c r="AM106" i="25"/>
  <c r="DN106" i="25" s="1"/>
  <c r="EQ101" i="25"/>
  <c r="EQ114" i="25" s="1"/>
  <c r="F124" i="17" s="1"/>
  <c r="Z103" i="25"/>
  <c r="Z116" i="25" s="1"/>
  <c r="F79" i="17" s="1"/>
  <c r="H87" i="32"/>
  <c r="ER102" i="25"/>
  <c r="ER115" i="25" s="1"/>
  <c r="F183" i="17" s="1"/>
  <c r="DB103" i="25"/>
  <c r="DB116" i="25" s="1"/>
  <c r="F145" i="17" s="1"/>
  <c r="AA114" i="25"/>
  <c r="ER101" i="25"/>
  <c r="ER114" i="25" s="1"/>
  <c r="F182" i="17" s="1"/>
  <c r="AA103" i="25"/>
  <c r="AA116" i="25" s="1"/>
  <c r="F139" i="17" s="1"/>
  <c r="DB106" i="25"/>
  <c r="AO106" i="25"/>
  <c r="DP106" i="25" s="1"/>
  <c r="ED103" i="25"/>
  <c r="ED116" i="25" s="1"/>
  <c r="F147" i="17" s="1"/>
  <c r="D62" i="32"/>
  <c r="H107" i="32"/>
  <c r="E16" i="32"/>
  <c r="E64" i="32" s="1"/>
  <c r="D64" i="32"/>
  <c r="H105" i="32"/>
  <c r="E14" i="32"/>
  <c r="F14" i="32" s="1"/>
  <c r="H19" i="17" l="1"/>
  <c r="AP113" i="25"/>
  <c r="F66" i="32"/>
  <c r="F18" i="32"/>
  <c r="M113" i="25"/>
  <c r="F104" i="32"/>
  <c r="E13" i="32"/>
  <c r="E61" i="32" s="1"/>
  <c r="F100" i="32"/>
  <c r="F108" i="32" s="1"/>
  <c r="AN100" i="25"/>
  <c r="AN103" i="25" s="1"/>
  <c r="AN116" i="25" s="1"/>
  <c r="L103" i="25"/>
  <c r="L116" i="25" s="1"/>
  <c r="F78" i="17" s="1"/>
  <c r="H78" i="17" s="1"/>
  <c r="H79" i="17" s="1"/>
  <c r="CL100" i="25"/>
  <c r="CL113" i="25" s="1"/>
  <c r="AO100" i="25"/>
  <c r="AO103" i="25" s="1"/>
  <c r="AO116" i="25" s="1"/>
  <c r="F80" i="17" s="1"/>
  <c r="F80" i="32"/>
  <c r="F88" i="32" s="1"/>
  <c r="DP100" i="25"/>
  <c r="DP113" i="25" s="1"/>
  <c r="CM100" i="25"/>
  <c r="CM113" i="25" s="1"/>
  <c r="CN100" i="25"/>
  <c r="CN103" i="25" s="1"/>
  <c r="CN116" i="25" s="1"/>
  <c r="F144" i="17" s="1"/>
  <c r="CO113" i="25"/>
  <c r="CO103" i="25"/>
  <c r="CO116" i="25" s="1"/>
  <c r="F90" i="32"/>
  <c r="D17" i="32"/>
  <c r="K113" i="25"/>
  <c r="D13" i="32"/>
  <c r="F86" i="32"/>
  <c r="DN100" i="25"/>
  <c r="AM100" i="25"/>
  <c r="DQ100" i="25"/>
  <c r="ES100" i="25" s="1"/>
  <c r="H139" i="17"/>
  <c r="H140" i="17" s="1"/>
  <c r="H141" i="17" s="1"/>
  <c r="H142" i="17" s="1"/>
  <c r="H143" i="17" s="1"/>
  <c r="DO100" i="25"/>
  <c r="N113" i="25"/>
  <c r="N103" i="25"/>
  <c r="N116" i="25" s="1"/>
  <c r="F98" i="32"/>
  <c r="E62" i="32"/>
  <c r="F62" i="32" s="1"/>
  <c r="F16" i="32"/>
  <c r="F64" i="32"/>
  <c r="D65" i="32" l="1"/>
  <c r="E17" i="32"/>
  <c r="E65" i="32" s="1"/>
  <c r="DP103" i="25"/>
  <c r="DP116" i="25" s="1"/>
  <c r="F146" i="17" s="1"/>
  <c r="AN113" i="25"/>
  <c r="CM103" i="25"/>
  <c r="CM116" i="25" s="1"/>
  <c r="F84" i="17" s="1"/>
  <c r="CL103" i="25"/>
  <c r="CL116" i="25" s="1"/>
  <c r="F24" i="17" s="1"/>
  <c r="AO113" i="25"/>
  <c r="D15" i="32"/>
  <c r="D63" i="32" s="1"/>
  <c r="EQ100" i="25"/>
  <c r="EQ113" i="25" s="1"/>
  <c r="F123" i="17" s="1"/>
  <c r="H144" i="17"/>
  <c r="H145" i="17" s="1"/>
  <c r="H80" i="17"/>
  <c r="H81" i="17" s="1"/>
  <c r="H82" i="17" s="1"/>
  <c r="H83" i="17" s="1"/>
  <c r="CN113" i="25"/>
  <c r="ER100" i="25"/>
  <c r="DQ113" i="25"/>
  <c r="DQ103" i="25"/>
  <c r="DQ116" i="25" s="1"/>
  <c r="ES113" i="25"/>
  <c r="ES103" i="25"/>
  <c r="ES116" i="25" s="1"/>
  <c r="AM113" i="25"/>
  <c r="EP100" i="25"/>
  <c r="AM103" i="25"/>
  <c r="AM116" i="25" s="1"/>
  <c r="F20" i="17" s="1"/>
  <c r="H20" i="17" s="1"/>
  <c r="H21" i="17" s="1"/>
  <c r="H22" i="17" s="1"/>
  <c r="H23" i="17" s="1"/>
  <c r="F13" i="32"/>
  <c r="D61" i="32"/>
  <c r="F61" i="32" s="1"/>
  <c r="F106" i="32"/>
  <c r="E15" i="32"/>
  <c r="DO113" i="25"/>
  <c r="DO103" i="25"/>
  <c r="DO116" i="25" s="1"/>
  <c r="F86" i="17" s="1"/>
  <c r="DN113" i="25"/>
  <c r="DN103" i="25"/>
  <c r="DN116" i="25" s="1"/>
  <c r="F26" i="17" s="1"/>
  <c r="F65" i="32" l="1"/>
  <c r="F17" i="32"/>
  <c r="H146" i="17"/>
  <c r="H147" i="17" s="1"/>
  <c r="H84" i="17"/>
  <c r="H85" i="17" s="1"/>
  <c r="H86" i="17" s="1"/>
  <c r="H87" i="17" s="1"/>
  <c r="H24" i="17"/>
  <c r="H25" i="17" s="1"/>
  <c r="H26" i="17" s="1"/>
  <c r="H27" i="17" s="1"/>
  <c r="EQ103" i="25"/>
  <c r="EQ116" i="25" s="1"/>
  <c r="F88" i="17" s="1"/>
  <c r="G86" i="17" s="1"/>
  <c r="ER113" i="25"/>
  <c r="F181" i="17" s="1"/>
  <c r="ER103" i="25"/>
  <c r="ER116" i="25" s="1"/>
  <c r="E63" i="32"/>
  <c r="F63" i="32" s="1"/>
  <c r="F67" i="32" s="1"/>
  <c r="F15" i="32"/>
  <c r="EP113" i="25"/>
  <c r="F62" i="17" s="1"/>
  <c r="EP103" i="25"/>
  <c r="EP116" i="25" s="1"/>
  <c r="F19" i="32" l="1"/>
  <c r="F69" i="32" s="1"/>
  <c r="G83" i="17"/>
  <c r="G78" i="17"/>
  <c r="G80" i="17"/>
  <c r="G81" i="17"/>
  <c r="G87" i="17"/>
  <c r="G84" i="17"/>
  <c r="G79" i="17"/>
  <c r="G82" i="17"/>
  <c r="G85" i="17"/>
  <c r="F126" i="17"/>
  <c r="G178" i="17" s="1"/>
  <c r="F184" i="17"/>
  <c r="F148" i="17"/>
  <c r="F28" i="17"/>
  <c r="G62" i="17" s="1"/>
  <c r="F65" i="17"/>
  <c r="G176" i="17" l="1"/>
  <c r="G121" i="17"/>
  <c r="G180" i="17"/>
  <c r="G182" i="17"/>
  <c r="G179" i="17"/>
  <c r="G118" i="17"/>
  <c r="G177" i="17"/>
  <c r="G119" i="17"/>
  <c r="G125" i="17"/>
  <c r="G123" i="17"/>
  <c r="G181" i="17"/>
  <c r="G124" i="17"/>
  <c r="G120" i="17"/>
  <c r="G183" i="17"/>
  <c r="G122" i="17"/>
  <c r="G142" i="17"/>
  <c r="G144" i="17"/>
  <c r="G140" i="17"/>
  <c r="G143" i="17"/>
  <c r="G145" i="17"/>
  <c r="G141" i="17"/>
  <c r="G147" i="17"/>
  <c r="G139" i="17"/>
  <c r="G138" i="17"/>
  <c r="G146" i="17"/>
  <c r="G20" i="17"/>
  <c r="G25" i="17"/>
  <c r="G21" i="17"/>
  <c r="G18" i="17"/>
  <c r="G61" i="17"/>
  <c r="G60" i="17"/>
  <c r="G58" i="17"/>
  <c r="G22" i="17"/>
  <c r="G63" i="17"/>
  <c r="G64" i="17"/>
  <c r="G19" i="17"/>
  <c r="G23" i="17"/>
  <c r="G57" i="17"/>
  <c r="G59" i="17"/>
  <c r="G27" i="17"/>
  <c r="G24" i="17"/>
  <c r="G26" i="17"/>
</calcChain>
</file>

<file path=xl/sharedStrings.xml><?xml version="1.0" encoding="utf-8"?>
<sst xmlns="http://schemas.openxmlformats.org/spreadsheetml/2006/main" count="3723" uniqueCount="2994">
  <si>
    <t>Medium</t>
  </si>
  <si>
    <t>Yes</t>
  </si>
  <si>
    <t>No</t>
  </si>
  <si>
    <t>English (EN)</t>
  </si>
  <si>
    <t>Selected language column:</t>
  </si>
  <si>
    <t>ID</t>
  </si>
  <si>
    <t>Deutsch (DE)</t>
  </si>
  <si>
    <t>Italiano (IT)</t>
  </si>
  <si>
    <t>Español (ES)</t>
  </si>
  <si>
    <t>Français (FR)</t>
  </si>
  <si>
    <t>Latviešu valoda (LV)</t>
  </si>
  <si>
    <t>Română (RO)</t>
  </si>
  <si>
    <t>General_Header</t>
  </si>
  <si>
    <t>Improving Cold Chain Energy Efficiency (ICCEE project)</t>
  </si>
  <si>
    <t>Energieeffizienz entlang der Kühlkette (ICCEE-Projekt)</t>
  </si>
  <si>
    <t>Info_Header</t>
  </si>
  <si>
    <t>Info_Header_Text</t>
  </si>
  <si>
    <t>Info_Language_Caption</t>
  </si>
  <si>
    <t>Language:</t>
  </si>
  <si>
    <t>Sprache:</t>
  </si>
  <si>
    <t>Info_Version_Caption</t>
  </si>
  <si>
    <t xml:space="preserve">Version: </t>
  </si>
  <si>
    <t>Info_Aim_Caption</t>
  </si>
  <si>
    <t xml:space="preserve">Aim: </t>
  </si>
  <si>
    <t xml:space="preserve">Ziel: </t>
  </si>
  <si>
    <t>Info_Target_Caption</t>
  </si>
  <si>
    <t>Target group:</t>
  </si>
  <si>
    <t>Zielgruppe:</t>
  </si>
  <si>
    <t>Info_Target_Text</t>
  </si>
  <si>
    <t>Supply chain managers &amp; environmental managers</t>
  </si>
  <si>
    <t>Lieferkettenmanager &amp; Umweltverantwortliche</t>
  </si>
  <si>
    <t>Info_Coding_Caption</t>
  </si>
  <si>
    <t>Color coding:</t>
  </si>
  <si>
    <t>Farbgebung:</t>
  </si>
  <si>
    <t>Info_Coding_User</t>
  </si>
  <si>
    <t>Field is an input field and requires input the user.</t>
  </si>
  <si>
    <t>Das Feld ist ein Eingabefeld und benötigt eine Eingabe.</t>
  </si>
  <si>
    <t>Info_Coding_Transfer</t>
  </si>
  <si>
    <t>Information transferred from a different part of the workbook.</t>
  </si>
  <si>
    <t>Information, die aus einem anderen Bereich der Arbeitsmappe übertragen wurde.</t>
  </si>
  <si>
    <t>Info_Coding_Calculated</t>
  </si>
  <si>
    <t>Information calculated based on other values.</t>
  </si>
  <si>
    <t>Information, die aus anderen Angaben abgeleitet wurde</t>
  </si>
  <si>
    <t>Change by</t>
  </si>
  <si>
    <t>Change</t>
  </si>
  <si>
    <t>Version</t>
  </si>
  <si>
    <t>Date</t>
  </si>
  <si>
    <t>Languages</t>
  </si>
  <si>
    <t>Entry</t>
  </si>
  <si>
    <t>List</t>
  </si>
  <si>
    <t>Modification</t>
  </si>
  <si>
    <t>Versions_Header</t>
  </si>
  <si>
    <t>Versions_Header_Text</t>
  </si>
  <si>
    <t>Versions_Table_Heading_Date</t>
  </si>
  <si>
    <t>Versions_Table_Heading_Version</t>
  </si>
  <si>
    <t>Versions_Table_Heading_Change</t>
  </si>
  <si>
    <t>Versions_Table_Heading_Changeby</t>
  </si>
  <si>
    <t>Entwicklungsstände</t>
  </si>
  <si>
    <t>Datum</t>
  </si>
  <si>
    <t>Änderung</t>
  </si>
  <si>
    <t>Geändert durch</t>
  </si>
  <si>
    <t>Info_Aim_Text3</t>
  </si>
  <si>
    <t>Info_Aim_Text2</t>
  </si>
  <si>
    <t>Info_Aim_Text1</t>
  </si>
  <si>
    <t>Internal lists only. Please do not modify this sheet unless you know what you are doing.</t>
  </si>
  <si>
    <t>Unit</t>
  </si>
  <si>
    <t>R410a</t>
  </si>
  <si>
    <t>R404a</t>
  </si>
  <si>
    <t>R134a</t>
  </si>
  <si>
    <t>R22</t>
  </si>
  <si>
    <t>Refrigerants</t>
  </si>
  <si>
    <t>District or industrial heating</t>
  </si>
  <si>
    <t>Heat from small scale plant</t>
  </si>
  <si>
    <t>Bio diesel</t>
  </si>
  <si>
    <t>Bio ethanol from fermentation</t>
  </si>
  <si>
    <t>Price</t>
  </si>
  <si>
    <t>Fuels</t>
  </si>
  <si>
    <t>Electricity</t>
  </si>
  <si>
    <t>Change in refrigerant pre-charge</t>
  </si>
  <si>
    <t>Change in water consumption</t>
  </si>
  <si>
    <t>Change in other energy sources</t>
  </si>
  <si>
    <t>Change in electricity consumption</t>
  </si>
  <si>
    <t>Water</t>
  </si>
  <si>
    <t>Refrigerant</t>
  </si>
  <si>
    <t>Electricity from the grid</t>
  </si>
  <si>
    <t>Water consumption per year</t>
  </si>
  <si>
    <t>Cardboard to landfill</t>
  </si>
  <si>
    <t xml:space="preserve">Refrigerant </t>
  </si>
  <si>
    <t>New Payload to transport</t>
  </si>
  <si>
    <t>Train freight with refrigerant - cooling</t>
  </si>
  <si>
    <t>Biodegradable waste to anaerobic digestion</t>
  </si>
  <si>
    <t>HDPE bottles</t>
  </si>
  <si>
    <t>Corrugated board box</t>
  </si>
  <si>
    <t>Packaging glass</t>
  </si>
  <si>
    <t>Banana</t>
  </si>
  <si>
    <t>Regional</t>
  </si>
  <si>
    <t>Fresh</t>
  </si>
  <si>
    <t>Vehicle 4</t>
  </si>
  <si>
    <t>Vehicle 3</t>
  </si>
  <si>
    <t>Vehicle 2</t>
  </si>
  <si>
    <t>Vehicle 1</t>
  </si>
  <si>
    <t>Waste %</t>
  </si>
  <si>
    <t>Warehouse use</t>
  </si>
  <si>
    <t>Refrigerant use per year</t>
  </si>
  <si>
    <t>Vehicle 5</t>
  </si>
  <si>
    <t>Type of fuel for refrigeration</t>
  </si>
  <si>
    <t>Type of vehicle</t>
  </si>
  <si>
    <t>Leakage (% per year)</t>
  </si>
  <si>
    <t>Global</t>
  </si>
  <si>
    <t>Cold chain</t>
  </si>
  <si>
    <t>Waste type</t>
  </si>
  <si>
    <t>Manufactured products to transport</t>
  </si>
  <si>
    <t>Transoceanic freight ship - cooling</t>
  </si>
  <si>
    <t>Freight aircraft with refrigerant - cooling</t>
  </si>
  <si>
    <t>Electricity from country mix</t>
  </si>
  <si>
    <t>Wastewater to average wastewater treatment plant</t>
  </si>
  <si>
    <t>Slaughterhouse waste rendering to tallow and meat and bone meal</t>
  </si>
  <si>
    <t>Slaughterhouse waste to municipal incineration</t>
  </si>
  <si>
    <t>Biodegradable waste to industrial composting</t>
  </si>
  <si>
    <t>Polyethylene to recycling</t>
  </si>
  <si>
    <t>Glass to recycling</t>
  </si>
  <si>
    <t>Glass to landfill</t>
  </si>
  <si>
    <t>Cardboard to recycling</t>
  </si>
  <si>
    <t>Waste disposal</t>
  </si>
  <si>
    <t>Packaging materials</t>
  </si>
  <si>
    <t>Lettuce</t>
  </si>
  <si>
    <t>Potato</t>
  </si>
  <si>
    <t>Onion</t>
  </si>
  <si>
    <t>Carrot</t>
  </si>
  <si>
    <t>Fresh Tomato</t>
  </si>
  <si>
    <t>Strawberry</t>
  </si>
  <si>
    <t>Peach</t>
  </si>
  <si>
    <t>Fresh Orange</t>
  </si>
  <si>
    <t>Avocado</t>
  </si>
  <si>
    <t>Apple</t>
  </si>
  <si>
    <t>Yogurt</t>
  </si>
  <si>
    <t>Semi-manufactured products</t>
  </si>
  <si>
    <t>Frozen fish</t>
  </si>
  <si>
    <t>Fresh fish (in ice)</t>
  </si>
  <si>
    <t>Eggs</t>
  </si>
  <si>
    <t>Beef</t>
  </si>
  <si>
    <t>Pork</t>
  </si>
  <si>
    <t>Chicken</t>
  </si>
  <si>
    <t>Cheese</t>
  </si>
  <si>
    <t>Processed Milk</t>
  </si>
  <si>
    <t>Finished products</t>
  </si>
  <si>
    <t>AWARE</t>
  </si>
  <si>
    <t>CED</t>
  </si>
  <si>
    <t>GWP</t>
  </si>
  <si>
    <t>Amount</t>
  </si>
  <si>
    <t>Category</t>
  </si>
  <si>
    <t>For transport refrigeration</t>
  </si>
  <si>
    <t>heavy</t>
  </si>
  <si>
    <t>Heavy</t>
  </si>
  <si>
    <t>Light</t>
  </si>
  <si>
    <t>Frozen Meat</t>
  </si>
  <si>
    <t>Poultry, rabbit or gane</t>
  </si>
  <si>
    <t>Meat</t>
  </si>
  <si>
    <t>Frozen</t>
  </si>
  <si>
    <t>Cooked dishes and prepared meals</t>
  </si>
  <si>
    <t>Ready meals</t>
  </si>
  <si>
    <t>Frozen fish products</t>
  </si>
  <si>
    <t>Superchilled fish</t>
  </si>
  <si>
    <t>Fish</t>
  </si>
  <si>
    <t>Processed milk</t>
  </si>
  <si>
    <t>Cream</t>
  </si>
  <si>
    <t>Dairy</t>
  </si>
  <si>
    <t>Select the type of cold chain</t>
  </si>
  <si>
    <t>Fruits and vegetables</t>
  </si>
  <si>
    <t>Product category</t>
  </si>
  <si>
    <t>#7: Retailer</t>
  </si>
  <si>
    <t>Tap water</t>
  </si>
  <si>
    <t>Yes No</t>
  </si>
  <si>
    <t>#0: General</t>
  </si>
  <si>
    <t>Transport temperature (-20 to +20 ⁰C)</t>
  </si>
  <si>
    <t>Storage temperature (-20 to +20 ⁰C)</t>
  </si>
  <si>
    <t>[MJ]</t>
  </si>
  <si>
    <t>[kg CO2 eq]</t>
  </si>
  <si>
    <t>[⁰C]</t>
  </si>
  <si>
    <t>#3: Producer</t>
  </si>
  <si>
    <t>#5: Distribution center</t>
  </si>
  <si>
    <t>[kg]</t>
  </si>
  <si>
    <t>[km]</t>
  </si>
  <si>
    <t>[h]</t>
  </si>
  <si>
    <t>[Selection]</t>
  </si>
  <si>
    <t>Distance</t>
  </si>
  <si>
    <t>Disaggregate fuel by refrigeration and transport</t>
  </si>
  <si>
    <t>Travel time</t>
  </si>
  <si>
    <t>[kg CO2 eq/tkm]</t>
  </si>
  <si>
    <t>[MJ/tkm]</t>
  </si>
  <si>
    <t>[m³ eq./tkm]</t>
  </si>
  <si>
    <t xml:space="preserve">Fuel consumption </t>
  </si>
  <si>
    <t>[m³ eq.]</t>
  </si>
  <si>
    <t>[Euro]</t>
  </si>
  <si>
    <t>[kg CO2 eq/kg]</t>
  </si>
  <si>
    <t>[MJ/kg]</t>
  </si>
  <si>
    <t>[m³ eq./kg]</t>
  </si>
  <si>
    <t>[m³]</t>
  </si>
  <si>
    <t>[kg CO2 eq/m³]</t>
  </si>
  <si>
    <t>[MJ/m³]</t>
  </si>
  <si>
    <t>[m3 eq./m³]</t>
  </si>
  <si>
    <t>[kWh]</t>
  </si>
  <si>
    <t>[kg CO2 eq/kWh]</t>
  </si>
  <si>
    <t>[MJ/kWh]</t>
  </si>
  <si>
    <t>[l/h]</t>
  </si>
  <si>
    <t>Fuel consumption</t>
  </si>
  <si>
    <t>[kWh/unit]</t>
  </si>
  <si>
    <t>[h/a]</t>
  </si>
  <si>
    <t>Storage temperature</t>
  </si>
  <si>
    <t>[%/a]</t>
  </si>
  <si>
    <r>
      <t>[kg CO</t>
    </r>
    <r>
      <rPr>
        <vertAlign val="subscript"/>
        <sz val="11"/>
        <rFont val="Calibri"/>
        <family val="2"/>
      </rPr>
      <t>2</t>
    </r>
    <r>
      <rPr>
        <sz val="11"/>
        <rFont val="Calibri"/>
        <family val="2"/>
      </rPr>
      <t xml:space="preserve"> eq/unit]</t>
    </r>
  </si>
  <si>
    <t>[MJ/unit]</t>
  </si>
  <si>
    <t>[m³ eq/unit]</t>
  </si>
  <si>
    <t>General data: Transport</t>
  </si>
  <si>
    <t>General data: Storage</t>
  </si>
  <si>
    <t>#1: LCA: Processing</t>
  </si>
  <si>
    <t>#2: LCA: Packaging</t>
  </si>
  <si>
    <t>#3: LCA: Transport</t>
  </si>
  <si>
    <t>Amount to store</t>
  </si>
  <si>
    <t>[%]</t>
  </si>
  <si>
    <t>Leakage</t>
  </si>
  <si>
    <t>LCA results: Absolute impact</t>
  </si>
  <si>
    <t>Total</t>
  </si>
  <si>
    <t>[kg CO2 eq/FU]</t>
  </si>
  <si>
    <t>[MJ/FU]</t>
  </si>
  <si>
    <t>[m³ eq./FU]</t>
  </si>
  <si>
    <t>[Euro/FU]</t>
  </si>
  <si>
    <t>LCA results: Specific impact</t>
  </si>
  <si>
    <t>Amount of transported raw material</t>
  </si>
  <si>
    <t>Product name</t>
  </si>
  <si>
    <t xml:space="preserve">Global warming potential </t>
  </si>
  <si>
    <t>Cumulative energy demand</t>
  </si>
  <si>
    <t>[kg CO2 eq.]</t>
  </si>
  <si>
    <t>[Text]</t>
  </si>
  <si>
    <t>Temperature category</t>
  </si>
  <si>
    <t>Currently available product groups</t>
  </si>
  <si>
    <t>Available categories</t>
  </si>
  <si>
    <t>Currently selected category</t>
  </si>
  <si>
    <t>Currently selected product group</t>
  </si>
  <si>
    <t>Not included:</t>
  </si>
  <si>
    <t>Individual products</t>
  </si>
  <si>
    <t>#1: Product group selection table</t>
  </si>
  <si>
    <t>#2: Product selection table</t>
  </si>
  <si>
    <t>Currently available products</t>
  </si>
  <si>
    <t>Products</t>
  </si>
  <si>
    <t>Chain</t>
  </si>
  <si>
    <t xml:space="preserve">Prices </t>
  </si>
  <si>
    <t>[Euro/unit]</t>
  </si>
  <si>
    <t>Road transport: Refrigerated</t>
  </si>
  <si>
    <t/>
  </si>
  <si>
    <t>Electricity mix Europe</t>
  </si>
  <si>
    <t>Other energy carriers</t>
  </si>
  <si>
    <t>Polyethylene to landfill</t>
  </si>
  <si>
    <t>#3: Current selection</t>
  </si>
  <si>
    <t>Product/process</t>
  </si>
  <si>
    <t>Type</t>
  </si>
  <si>
    <t>[kg/l]</t>
  </si>
  <si>
    <t>Temperature</t>
  </si>
  <si>
    <t>Fuel consumption: Base table</t>
  </si>
  <si>
    <t>Fuel consumption: Selection table</t>
  </si>
  <si>
    <t>[tkm]</t>
  </si>
  <si>
    <t xml:space="preserve">Below you can specify your cold supply chain including the products under consideration, the means of transport and storage in the cold chain and the occurence of waste. Please go through the different parts of this sheet which tracks the product life cycle from raw material supplier to the retailer. Updown completion, please proceed to the results sheet to check on the life-cycle results per stage in the supply chain and for the entire supply chain. </t>
  </si>
  <si>
    <t>Here, you may chose products from the defaults or your previous indiviudalization. The temperature levels for transportation and storage will be set automatically and all impacts related to the raw material provision and transport to the subsequent processor (next step) will be accounted for automatically.</t>
  </si>
  <si>
    <t>Keep emtpy line!</t>
  </si>
  <si>
    <t xml:space="preserve">Product group: </t>
  </si>
  <si>
    <t xml:space="preserve">Temperature category: </t>
  </si>
  <si>
    <t>Please specify up to five vehicles used for transportation in this stage of the supply chain. Please choose first whether refrigeration in these vehicles is provided by the vehicles' main engines or auxilliary units.</t>
  </si>
  <si>
    <t xml:space="preserve">The activities at the producer relate to processing the raw materials (food goods including packaging and others) into a finished food product ready to transport across a supply chain for consumption. </t>
  </si>
  <si>
    <t>Packaging &amp; production</t>
  </si>
  <si>
    <t>[kg/a]</t>
  </si>
  <si>
    <t>Storage after processing</t>
  </si>
  <si>
    <t>Total size of storage</t>
  </si>
  <si>
    <t>Warehouse volume occupied by a batch</t>
  </si>
  <si>
    <t>Storage time of a batch at the warehouse</t>
  </si>
  <si>
    <t>Initial annual precharge</t>
  </si>
  <si>
    <t>Type of refrigerant</t>
  </si>
  <si>
    <t>Waste</t>
  </si>
  <si>
    <t>Please select the type and amount of waste and wastewater and its disposal as well as the means of transport for disposal of the waste.</t>
  </si>
  <si>
    <t>Vehicle use</t>
  </si>
  <si>
    <t>Refrigeration</t>
  </si>
  <si>
    <t>Waste type and disposal</t>
  </si>
  <si>
    <t>Amount of waste per year</t>
  </si>
  <si>
    <t>Is refrigeration provided by auxiliary powered units in transport vehicles?</t>
  </si>
  <si>
    <t xml:space="preserve">Filling in these cells is only required if auxliariy powered units are used: </t>
  </si>
  <si>
    <t>Average amount of stored products per year</t>
  </si>
  <si>
    <t>Storage</t>
  </si>
  <si>
    <t>As a final step in the supply chain, the retailer is the place where consumers can buy food and take it off-site.</t>
  </si>
  <si>
    <t>Final product at retailer</t>
  </si>
  <si>
    <t>[Euro/kWh]</t>
  </si>
  <si>
    <t>[Euro/l]</t>
  </si>
  <si>
    <t>[Euro/kg]</t>
  </si>
  <si>
    <t>[Euro/m³]</t>
  </si>
  <si>
    <t xml:space="preserve">In the analysis, you may analyse up to two products. The underlying database offers a range of pre-defined products along with default data from the Ecoinvent database. In addition to using these defaults, you may also analyze an individual product. If you want to do so, please fill in this section or otherwise skip to the next one. The entry here will automatically appear in the selection of products in the next step. </t>
  </si>
  <si>
    <t xml:space="preserve">Please specify the materials required for packaging the total amount of products specified earlier. </t>
  </si>
  <si>
    <t>Indiviudalized product (optional)</t>
  </si>
  <si>
    <t>Entire cold supply chain</t>
  </si>
  <si>
    <t>Impact per kg of final product</t>
  </si>
  <si>
    <t>#3b: Storage at docks/airport at origin</t>
  </si>
  <si>
    <t>(only for global supply chains)</t>
  </si>
  <si>
    <t>#3d: Storage at docks/airport at destination</t>
  </si>
  <si>
    <t>#2: Life Cycle Assessment: Info</t>
  </si>
  <si>
    <t>#2: Ökobilanz: Information</t>
  </si>
  <si>
    <t>#2: Life Cycle Assessment: Versions</t>
  </si>
  <si>
    <t>#2: Ökobilanz: Versionen</t>
  </si>
  <si>
    <t>#2: Life Cycle Assessment: Input</t>
  </si>
  <si>
    <t>#2: Life Cycle Assessment: Results</t>
  </si>
  <si>
    <t>Please chose first whether you would like to analyze a regional or global supply chain. The global suply chain includes additional steps in the chain for long-distance transportation (see illustration above).</t>
  </si>
  <si>
    <t>This steps covers the distribution of products from the warehouse to the indiviudal retailers.</t>
  </si>
  <si>
    <t xml:space="preserve">This step adresses the storage of products at the distribution center. </t>
  </si>
  <si>
    <t>This step adresses the transport from the supplier or - in case of global supply chain - from the last dock/airport to the distribution center.</t>
  </si>
  <si>
    <t xml:space="preserve">This step for global supply chains only adresses storage after long distance transport. </t>
  </si>
  <si>
    <t xml:space="preserve">This step for global supply chains only adresses the long distance transport by plane or ship from the storage location at the origin to the storage location at the destination. </t>
  </si>
  <si>
    <t xml:space="preserve">This step for global supply chains only adresses storage before long distance transport. </t>
  </si>
  <si>
    <t>This step adresses the transportation from the raw material supplier to the producer/processor.</t>
  </si>
  <si>
    <t>Annual initial refrigerant precharge</t>
  </si>
  <si>
    <t>Per batch: Food product to transport</t>
  </si>
  <si>
    <t>Per batch: Sum to transport as payload</t>
  </si>
  <si>
    <t>Total: Annual production (food product incl. packaging)</t>
  </si>
  <si>
    <t>[d]</t>
  </si>
  <si>
    <t>Amount per batch (excluding packaging)</t>
  </si>
  <si>
    <r>
      <t>#2: Life cycle assessment: Translations</t>
    </r>
    <r>
      <rPr>
        <b/>
        <i/>
        <sz val="14"/>
        <color theme="4"/>
        <rFont val="Calibri"/>
        <family val="2"/>
        <scheme val="minor"/>
      </rPr>
      <t xml:space="preserve"> (English only)</t>
    </r>
  </si>
  <si>
    <t>Note: Keep this line as is!</t>
  </si>
  <si>
    <t>E-LCC</t>
  </si>
  <si>
    <t>Transport 2</t>
  </si>
  <si>
    <t>Transport 3</t>
  </si>
  <si>
    <t>Transport to Processor</t>
  </si>
  <si>
    <t>Warehouse</t>
  </si>
  <si>
    <t>Fuel for transport</t>
  </si>
  <si>
    <t>Fuel for refrigeration</t>
  </si>
  <si>
    <t>No product</t>
  </si>
  <si>
    <t>Please note that the impact from the raw materials is attributed to the producer.</t>
  </si>
  <si>
    <t>Global warming potentials (GWP)</t>
  </si>
  <si>
    <t>GWP by type of process: Values per functional unit</t>
  </si>
  <si>
    <t>GWP by stage: Value per functional unit</t>
  </si>
  <si>
    <t>#2: Single drop transport (supplier to producer)</t>
  </si>
  <si>
    <t>#3a: Single drop transport (producer to docks/airport)</t>
  </si>
  <si>
    <t>#3c: Single drop transport (origin to destination)</t>
  </si>
  <si>
    <t>#6: Multi drop transport (distribution center to retailer)</t>
  </si>
  <si>
    <t>#4: Single drop transport (to distribution center)</t>
  </si>
  <si>
    <t>#4: LCA: Water use</t>
  </si>
  <si>
    <t>#5: LCA: Energy use</t>
  </si>
  <si>
    <t>#6: LCA: Transport refrigeration (electricity and fuel only for refrigeration)</t>
  </si>
  <si>
    <t>#7: LCA: Refrigerant slippage</t>
  </si>
  <si>
    <t>#8: LCA: Waste</t>
  </si>
  <si>
    <t>Other energy</t>
  </si>
  <si>
    <t>No measure</t>
  </si>
  <si>
    <t>Implemented measure</t>
  </si>
  <si>
    <t>#2: Life Cycle Assessment: What if?</t>
  </si>
  <si>
    <t>Sensitivity analysis</t>
  </si>
  <si>
    <t>Domain of change</t>
  </si>
  <si>
    <t>Environmental costs by stage</t>
  </si>
  <si>
    <t>[Euro/ton]</t>
  </si>
  <si>
    <t>Cost related to GWP</t>
  </si>
  <si>
    <t>Material flows</t>
  </si>
  <si>
    <t>Cost related to the material flows</t>
  </si>
  <si>
    <t>Changes to the environmental life cycle costs</t>
  </si>
  <si>
    <t>Below you may specify potential savings from implementing energy efficiency meausres along the cold supply chain and the stage where these changes apply. Savings should be indicated by negative values.</t>
  </si>
  <si>
    <t>Change to the environmental costs for the entire chain compared to situation without measure</t>
  </si>
  <si>
    <t>On this sheet, the environmental costs of the stages are provided in an aggregated form. For showing the impact of potential energy efficiency measures on these costs, you may change input values concerning the consumption on this sheet and see the effects on the overall costs of the cold supply chain. The Environmental Life Cycle Cost (E-LCC) delivers the cost related to to material flows such as enery, fuels and carbon dioxide emission but they do not include capital or labor costs.</t>
  </si>
  <si>
    <t>Cumulated energy demand (CED)</t>
  </si>
  <si>
    <t>CED by type of process: Values per functional unit</t>
  </si>
  <si>
    <t>AWARE by type of process: Values per functional unit</t>
  </si>
  <si>
    <t>AWARE by stage: Value per functional unit</t>
  </si>
  <si>
    <t>Sensitivity calculation</t>
  </si>
  <si>
    <t>Below you find the detailed costs for the environmental life cycle costs with and without measure for information.</t>
  </si>
  <si>
    <t>Sensitivity: Price settings</t>
  </si>
  <si>
    <t>#1: Raw material definition</t>
  </si>
  <si>
    <t xml:space="preserve">This tool deals with the life cycle analysis of cold supply chains. It allows users to perform an analysis of the environmental performance of whole cold supply chains. </t>
  </si>
  <si>
    <t>The model is based on the following data and methods: The determination of the Global Warming Potential (GWP) is based on the "2013 method" developed by the Intergovernmental Panel on Climate Change (IPCC). It delivers results for a timeframe of 100 years and expresses the impact in terms of kg of carbon dioxide equivalents.</t>
  </si>
  <si>
    <t>The determiniation of the Cumulative Energy Demand (CED) is based on the method published by the environmental data system "ecoinvent version 2.0" expanded for raw materials available in the life cylce database "SimaPro 7".</t>
  </si>
  <si>
    <t xml:space="preserve">To determine water use, the AWARE method (Availalble WAter Remaining) is used according to the recommendation of international working group on water use assessment and footprinting (WULCA).  It assesses the potential of water deprivation, to either humans or ecosystems, building on the assumption that the less water remaining available per area, the more likely another user will be deprived. </t>
  </si>
  <si>
    <t>Version history</t>
  </si>
  <si>
    <t>Electrical consumption of auxiliary units</t>
  </si>
  <si>
    <t>Transport distance by lorry truck</t>
  </si>
  <si>
    <t>The determination of the Global Warming Potential (GWP) is based on the "2013 method" developed by the Intergovernmental Panel on Climate Change (IPCC). It delivers results for a timeframe of 100 years and expresses the impact in terms of kg of carbon dioxide equivalents.</t>
  </si>
  <si>
    <t>The Cumulative Energy Demand (CED) is based on the method published by the environmental data system "ecoinvent version 2.0" expanded by PRé Consultants for raw materials available in the life cylce database "SimaPro 7".</t>
  </si>
  <si>
    <t>Water use (AWARE)</t>
  </si>
  <si>
    <t xml:space="preserve">The AWARE method (Availalble WAter Remaining) is recommended by the international working group on water use assessment and footprinting (WULCA) for LCA analyses. In May 2016, the method was also endorsed by the EU Joint Research Center. AWARE represents the relative AWARE per area in a watershed after the demand of humans and aquatic ecosystems has been met. It assesses the potential of water deprivation, to either humans or ecosystems, building on the assumption that the less water remaining available per area, the more likely another user will be deprived. </t>
  </si>
  <si>
    <t>In this analysis, the environmental impacts are presented along three of the most common impact categories nowadays under consideration. These results are potential impacts caused by the modeled activities per functional unit</t>
  </si>
  <si>
    <t xml:space="preserve">The table below shows the environmental life cycle costs (E-LCC) per stage, i.e. the environmental costs per ton of delivered product at the status quo without any energy efficiency measure. Please note that it focuses on the parts of local supply chains only. </t>
  </si>
  <si>
    <t>In this section, you may modify the price settings for different material flows relevant to the E-LCC calculation.</t>
  </si>
  <si>
    <t xml:space="preserve">Lower heating value </t>
  </si>
  <si>
    <t>Lorry truck</t>
  </si>
  <si>
    <t>Lorry truck R134a-cooling</t>
  </si>
  <si>
    <t>Diesel</t>
  </si>
  <si>
    <t>Bio methane 96%</t>
  </si>
  <si>
    <t>Natural gas</t>
  </si>
  <si>
    <t>Info_Aim_Text4</t>
  </si>
  <si>
    <t xml:space="preserve">Dieses Tool befasst sich mit der Lebenszyklusanalyse von Kühlketten. Es ermöglicht die Durchführung einer Analyse der Umweltwirkungen gesamter Kühllieferketten. </t>
  </si>
  <si>
    <t>Units_Selection</t>
  </si>
  <si>
    <t>Units_Text</t>
  </si>
  <si>
    <t>Units_MJ</t>
  </si>
  <si>
    <t>Units_kg</t>
  </si>
  <si>
    <t>Units_kWh</t>
  </si>
  <si>
    <t>Units_kg_CO2_eq</t>
  </si>
  <si>
    <t>Units_m3_eq.</t>
  </si>
  <si>
    <t>Units_Celsius</t>
  </si>
  <si>
    <t>Units_days</t>
  </si>
  <si>
    <t>Units_km</t>
  </si>
  <si>
    <t>Units_h</t>
  </si>
  <si>
    <t>Input_Header</t>
  </si>
  <si>
    <t>Input_Header_Text</t>
  </si>
  <si>
    <t>Input_0_Header</t>
  </si>
  <si>
    <t>Input_0_Header_Text</t>
  </si>
  <si>
    <t>Input_0_Chain_Type</t>
  </si>
  <si>
    <t>Input_0_Product_Header</t>
  </si>
  <si>
    <t>Input_0_Product_Header_Text</t>
  </si>
  <si>
    <t>Input_0_Product_Name</t>
  </si>
  <si>
    <t>Input_0_Product_GWP</t>
  </si>
  <si>
    <t>Input_0_Product_CED</t>
  </si>
  <si>
    <t>Input_0_Product_AWARE</t>
  </si>
  <si>
    <t>Input_0_Product_Impact_Text</t>
  </si>
  <si>
    <t>Input_0_Product_Temperature_Text</t>
  </si>
  <si>
    <t>Input_0_Product_Temperature_Transport</t>
  </si>
  <si>
    <t>Input_0_Product_Temperature_Storage</t>
  </si>
  <si>
    <t>Input_1_Header</t>
  </si>
  <si>
    <t>Input_1_Header_Text</t>
  </si>
  <si>
    <t>Input_1_Product_Category</t>
  </si>
  <si>
    <t>Input_1_Product_Batch</t>
  </si>
  <si>
    <t>Input_2_Header</t>
  </si>
  <si>
    <t>Input_2_Header_Text</t>
  </si>
  <si>
    <t>Input_3_Header</t>
  </si>
  <si>
    <t>Input_3_Header_Text</t>
  </si>
  <si>
    <t>Input_3a_Header</t>
  </si>
  <si>
    <t>Input_3a_Header_Text</t>
  </si>
  <si>
    <t>Input_3b_Header</t>
  </si>
  <si>
    <t>Input_3c_Header</t>
  </si>
  <si>
    <t>Input_3d_Header</t>
  </si>
  <si>
    <t>Input_4_Header</t>
  </si>
  <si>
    <t>Input_5_Header</t>
  </si>
  <si>
    <t>Input_6_Header</t>
  </si>
  <si>
    <t>Input_7_Header</t>
  </si>
  <si>
    <t>Input_3b_Header_Text</t>
  </si>
  <si>
    <t>Input_3c_Header_Text</t>
  </si>
  <si>
    <t>Input_3d_Header_Text</t>
  </si>
  <si>
    <t>Input_4_Header_Text</t>
  </si>
  <si>
    <t>Input_5_Header_Text</t>
  </si>
  <si>
    <t>Input_6_Header_Text</t>
  </si>
  <si>
    <t>Input_7_Header_Text</t>
  </si>
  <si>
    <t>Units_m3</t>
  </si>
  <si>
    <t>Units_kga</t>
  </si>
  <si>
    <t>[Auswahl]</t>
  </si>
  <si>
    <t>[kg CO2 äq.]</t>
  </si>
  <si>
    <t>[m³ äq.]</t>
  </si>
  <si>
    <t>Input_2_Vehicle_Header</t>
  </si>
  <si>
    <t>Input_2_Vehicle_Header_Text</t>
  </si>
  <si>
    <t>Input_2_Vehicle_Powering</t>
  </si>
  <si>
    <t>Vehicle</t>
  </si>
  <si>
    <t>Input_2_Vehicle_Amount</t>
  </si>
  <si>
    <t>Material</t>
  </si>
  <si>
    <t>Input_1_Product</t>
  </si>
  <si>
    <t>Product</t>
  </si>
  <si>
    <t>Input_3_Production_Header</t>
  </si>
  <si>
    <t>Input_3_Production_Header_Text</t>
  </si>
  <si>
    <t>Input_3_Material</t>
  </si>
  <si>
    <t>Input_3_Packaging</t>
  </si>
  <si>
    <t>Input_3_Amount</t>
  </si>
  <si>
    <t>Input_3_Waste</t>
  </si>
  <si>
    <t>Input_3_Waste_Type</t>
  </si>
  <si>
    <t>Input_3_Waste_Amount</t>
  </si>
  <si>
    <t>Input_3_Waste_Unit</t>
  </si>
  <si>
    <t>Input_3_Waste_Transport</t>
  </si>
  <si>
    <t>Input_3a_Header_Addition</t>
  </si>
  <si>
    <t>Input_3_Amount_Product</t>
  </si>
  <si>
    <t>Input_3_Amount_Transport</t>
  </si>
  <si>
    <t>Input_3_Amount_Storage</t>
  </si>
  <si>
    <t>Input_3_Amount_Packaging</t>
  </si>
  <si>
    <t>Input_3_Amount_Total</t>
  </si>
  <si>
    <t>Input_3_Amount_Electricity</t>
  </si>
  <si>
    <t>Input_3a_Auxiliary_Power</t>
  </si>
  <si>
    <t>Input_3a_Auxiliary_Additional</t>
  </si>
  <si>
    <t>Water demand</t>
  </si>
  <si>
    <t>Input_2_Vehicle</t>
  </si>
  <si>
    <t>Input_2_Vehicle_Type</t>
  </si>
  <si>
    <t>Input_2_Vehicle_Distance</t>
  </si>
  <si>
    <t>Input_2_Vehicle_Time</t>
  </si>
  <si>
    <t>Input_2_Refrigeration_Header</t>
  </si>
  <si>
    <t>Input_2_Refrigeration_Header_Text</t>
  </si>
  <si>
    <t>Input_2_Refrigeration_Refrigerant</t>
  </si>
  <si>
    <t>Input_2_Refrigeration_Precharge</t>
  </si>
  <si>
    <t>Input_2_Refrigeration_Consumption</t>
  </si>
  <si>
    <t>Input_2_Water</t>
  </si>
  <si>
    <t>Input_3_Amount_Storage_Time</t>
  </si>
  <si>
    <t>Input_3_Amount_Storage_Volume</t>
  </si>
  <si>
    <t>Input_3_Amount_Storage_Size</t>
  </si>
  <si>
    <t>Input_3_Refrigerant_Type</t>
  </si>
  <si>
    <t>Input_3_Refrigerant_Precharge</t>
  </si>
  <si>
    <t>Input_3_Waste_Header</t>
  </si>
  <si>
    <t>Input_3_Waste_Text</t>
  </si>
  <si>
    <t>Input_5_Storage_AnnualAmount</t>
  </si>
  <si>
    <t>Input_5_Storage</t>
  </si>
  <si>
    <t>Units_MJ_tkm</t>
  </si>
  <si>
    <t>Units_m3_tkm</t>
  </si>
  <si>
    <t>Units_kg_CO2_tkm</t>
  </si>
  <si>
    <t>Units_Euro</t>
  </si>
  <si>
    <t>[kg CO2 äq./tkm]</t>
  </si>
  <si>
    <t>[kg CO2 äq./m³]</t>
  </si>
  <si>
    <t>[m³ äq./tkm]</t>
  </si>
  <si>
    <t>[m3 äq./m³]</t>
  </si>
  <si>
    <t>Units_kg_CO2_m3</t>
  </si>
  <si>
    <t>Units_MJ_m3</t>
  </si>
  <si>
    <t>Units_m3_m3</t>
  </si>
  <si>
    <t>Units_l_h</t>
  </si>
  <si>
    <t>[kg CO2 äq./kWh]</t>
  </si>
  <si>
    <t>Units_MJ_kWh</t>
  </si>
  <si>
    <t>Units_m3_kWh</t>
  </si>
  <si>
    <t>[m³ eq./kWh]</t>
  </si>
  <si>
    <t>Units_MJ_kg</t>
  </si>
  <si>
    <t>Units_m3_kg</t>
  </si>
  <si>
    <t>[m³ äq./kWh]</t>
  </si>
  <si>
    <t>[kg CO2 äq./kg]</t>
  </si>
  <si>
    <t>[m³ äq./kg]</t>
  </si>
  <si>
    <t>Units_kg_CO2_kWh</t>
  </si>
  <si>
    <t>Units_kg_CO2_kg</t>
  </si>
  <si>
    <t>Units_Perc_a</t>
  </si>
  <si>
    <t>Units_kg_CO2_FU</t>
  </si>
  <si>
    <t>Units_MJ_FU</t>
  </si>
  <si>
    <t>Units_m3_FU</t>
  </si>
  <si>
    <t>Units_Euro_FU</t>
  </si>
  <si>
    <t>[MJ/FE]</t>
  </si>
  <si>
    <t>[Euro/FE]</t>
  </si>
  <si>
    <t>[kg CO2 äq./FE]</t>
  </si>
  <si>
    <t>[m³ äq./FE]</t>
  </si>
  <si>
    <t>Units_h_a</t>
  </si>
  <si>
    <t>Units_Perc</t>
  </si>
  <si>
    <t>Units_MJ_unit</t>
  </si>
  <si>
    <t>Units_m3_unit</t>
  </si>
  <si>
    <t>[MJ/Einheit]</t>
  </si>
  <si>
    <t>[m³ äq./Einheit]</t>
  </si>
  <si>
    <r>
      <t>[kg CO</t>
    </r>
    <r>
      <rPr>
        <vertAlign val="subscript"/>
        <sz val="11"/>
        <rFont val="Calibri"/>
        <family val="2"/>
      </rPr>
      <t>2</t>
    </r>
    <r>
      <rPr>
        <sz val="11"/>
        <rFont val="Calibri"/>
        <family val="2"/>
      </rPr>
      <t xml:space="preserve"> äq./Einheit]</t>
    </r>
  </si>
  <si>
    <t>Units_kg_CO2_unit</t>
  </si>
  <si>
    <t>Units_kWh_unit</t>
  </si>
  <si>
    <t>[kWh/Einheit]</t>
  </si>
  <si>
    <t>Units_m3_eq</t>
  </si>
  <si>
    <t>Hidden_Calculation_Header_Transport</t>
  </si>
  <si>
    <t>Hidden_Calculation_Header_Storage</t>
  </si>
  <si>
    <t>Hidden_Calculation_Header_1_LCA_Processing</t>
  </si>
  <si>
    <t>Hidden_Calculation_Header_2_LCA_Packaging</t>
  </si>
  <si>
    <t>Hidden_Calculation_Header_3_LCA_Transport</t>
  </si>
  <si>
    <t>Hidden_Calculation_Header_4_LCA_Water</t>
  </si>
  <si>
    <t>Hidden_Calculation_Header_5_LCA_Energy</t>
  </si>
  <si>
    <t>Hidden_Calculation_Header_6_LCA_Transport</t>
  </si>
  <si>
    <t>Hidden_Calculation_Header_7_LCA_Refrigerant</t>
  </si>
  <si>
    <t>Hidden_Calculation_Header_8_LCA_Waste</t>
  </si>
  <si>
    <t>Hidden_Calculation_Header_LCA_Results_Absolute</t>
  </si>
  <si>
    <t>Hidden_Calculation_Header_LCA_Results_Specific</t>
  </si>
  <si>
    <t>Allgemeine Angaben: Transport</t>
  </si>
  <si>
    <t>Allgemeine Angaben: Speicher</t>
  </si>
  <si>
    <t>#2: LCA: Verpacken</t>
  </si>
  <si>
    <t>#1: LCA: Verarbeiten</t>
  </si>
  <si>
    <t>#3: LCA: Transportieren</t>
  </si>
  <si>
    <t>#4: LCA: Wassernutzung</t>
  </si>
  <si>
    <t>#5: LCA: Energienutzung</t>
  </si>
  <si>
    <t>#6: LCA: Transportkühlung (Strom und Brennstoff nur für Kühlung)</t>
  </si>
  <si>
    <t>#7: LCA: Kühlmittelverluste</t>
  </si>
  <si>
    <t>#8: LCA: Abfall</t>
  </si>
  <si>
    <t>LCA Ergebnisse: Auswirkungen (absolut)</t>
  </si>
  <si>
    <t>LCA Ergebnisse: Auswirkungen (spezifisch)</t>
  </si>
  <si>
    <t>Other energy source</t>
  </si>
  <si>
    <t>Hidden_Calculation_FuelConsumption</t>
  </si>
  <si>
    <t>Hidden_Calculation_Price</t>
  </si>
  <si>
    <t>Hidden_Calculation_Amount</t>
  </si>
  <si>
    <t>Hidden_Calculation_Leakage</t>
  </si>
  <si>
    <t>Hidden_Calculation_Electricity</t>
  </si>
  <si>
    <t>Hidden_Calculation_GWP</t>
  </si>
  <si>
    <t>Hidden_Calculation_CED</t>
  </si>
  <si>
    <t>Hidden_Calculation_AWARE</t>
  </si>
  <si>
    <t>Hidden_Calculation_Refrigeration_Fuel</t>
  </si>
  <si>
    <t>Hidden_Calculation_Storage_Temperature</t>
  </si>
  <si>
    <t>Hidden_Calculation_Warehouse_Use</t>
  </si>
  <si>
    <t>Hidden_Calculation_Product_Transport</t>
  </si>
  <si>
    <t>Hidden_Calculation_Waste_Type</t>
  </si>
  <si>
    <t>Hidden_Calculation_Other_Source</t>
  </si>
  <si>
    <t>Hidden_Calculation_Refrigerant_Use</t>
  </si>
  <si>
    <t>Hidden_Calculation_Refrigerant_Unit</t>
  </si>
  <si>
    <t>Preis</t>
  </si>
  <si>
    <t>Menge</t>
  </si>
  <si>
    <t>Kraftstoffverbrauch</t>
  </si>
  <si>
    <t>Art des Kraftstoffs für die Kühlung</t>
  </si>
  <si>
    <t>Leckage</t>
  </si>
  <si>
    <t>Lagertemperature</t>
  </si>
  <si>
    <t>Warenhausnutzung</t>
  </si>
  <si>
    <t>Transport hergestellter Produkte</t>
  </si>
  <si>
    <t>Abfallart</t>
  </si>
  <si>
    <t>Strom</t>
  </si>
  <si>
    <t>Sonstige Energiequelle</t>
  </si>
  <si>
    <t>Kühlmittelnutzung pro Jahr</t>
  </si>
  <si>
    <t>Einheit</t>
  </si>
  <si>
    <t xml:space="preserve">This tools aim to help actors along the cold supply chain to identify the environmental impact of their chains. For this purpose, the environmental impact for a set of products is modelled for three of the most common impact categories, i.e.  global warming potentials, cumulative energy demand and water consumption. </t>
  </si>
  <si>
    <t xml:space="preserve">Dieses Werkzeug sollen Akteuren entlang der Kältelieferkette helfen, die Umweltwirkungen ihrer Ketten zu ermitteln. Zu diesem Zweck werden die Umweltwirkungen für eine Reihe von Produkten für drei der gängigsten Auswirkungskategorien modelliert, d.h. für Treibhauswirkungen, den kumulativen Energieverbrauch sowie den Wasserverbrauch. </t>
  </si>
  <si>
    <t xml:space="preserve">Das Modell basiert auf den folgenden Daten und Methoden: Die Bestimmung des Erderwärmungspotentials (GWP) basiert auf der vom Intergovernmental Panel on Climate Change (IPCC) entwickelten "2013-Methode". Sie liefert Ergebnisse für einen Zeitrahmen von 100 Jahren und drückt die Auswirkungen in kg Kohlendioxid-Äquivalenten aus.
</t>
  </si>
  <si>
    <t>KEA</t>
  </si>
  <si>
    <t xml:space="preserve">Die Ermittlung des kumulierten Energiebedarfs (KEA) basiert auf der Methode des Umweltdatensystems "ecoinvent version 2.0", erweitert um Rohstoffe, die in der Lebenszyklusdatenbank "SimaPro 7" hinterlegt sind.
</t>
  </si>
  <si>
    <t xml:space="preserve">Für die Darstellung des Wasserverbrauchs wird die AWARE-Methode gemäß der Empfehlung der internationalen Arbeitsgruppe zur Bewertung von Wassernutzung und -fußabdruck (WULCA) verwendet.  Sie bewertet das Potenzial des Wasserentzugs für Menschen oder Ökosysteme aufbauend auf der Annahme, dass mit weniger verfügbarem Wasser pro Fläche die Wahrscheinlichkeit eines Wasserengpasses für anderer Nutzungen steigt. 
</t>
  </si>
  <si>
    <t>#2: Ökobilanz: Eingabe</t>
  </si>
  <si>
    <t>Im Folgenden können Sie Ihre Kühlkette anhand eines betrachteten Produkts, der dafür notwendigen Transportmittel und Lagerung sowie anhand des Abfallaufkommens spezifizieren. Bitte gehen Sie die verschiedenen Teile dieses Blattes durch, um den Produktlebenszyklus vom Rohstofflieferanten bis zum Einzelhändler zu vervollständigen. Nach der Fertigstellung wechseln Sie bitte auf das Ergebnisblatt, wo die Ergebnisse je Bereich der Lieferkette und für die Lieferkette insgesamt ausgewiesen werden.</t>
  </si>
  <si>
    <t>#0: Allgemeines</t>
  </si>
  <si>
    <t>Hidden_Calculation_Amount_Store</t>
  </si>
  <si>
    <t>Menge zu Lagern</t>
  </si>
  <si>
    <t>Hidden_Calculation_Total</t>
  </si>
  <si>
    <t>Gesamt</t>
  </si>
  <si>
    <t>#2: Life cycle assessment: Lists</t>
  </si>
  <si>
    <t>Results_Header</t>
  </si>
  <si>
    <t>Results_Header_Text</t>
  </si>
  <si>
    <t>Results_GWP</t>
  </si>
  <si>
    <t>Results_Impact</t>
  </si>
  <si>
    <t>GWP cumulated</t>
  </si>
  <si>
    <t>Results_Global_Warming</t>
  </si>
  <si>
    <t>Results_Global_Warming_Text</t>
  </si>
  <si>
    <t>Results_Global_Warming_Stage</t>
  </si>
  <si>
    <t>Results_GWP_Cumulated</t>
  </si>
  <si>
    <t>Results_Global_Warming_Type</t>
  </si>
  <si>
    <t>Results_Cumulated_Energy_Text</t>
  </si>
  <si>
    <t>Results_CED</t>
  </si>
  <si>
    <t>Results_CED_Cumulated</t>
  </si>
  <si>
    <t>CED cumulated</t>
  </si>
  <si>
    <t>CED by stage: Value per functional unit</t>
  </si>
  <si>
    <t>Results_Cumulated_Energy_Stage</t>
  </si>
  <si>
    <t>Results_Cumulated_Energy_Type</t>
  </si>
  <si>
    <t>Results_AWARE</t>
  </si>
  <si>
    <t>Results_AWARE_Text</t>
  </si>
  <si>
    <t>Results_AWARE_Stage</t>
  </si>
  <si>
    <t>Water cumulated</t>
  </si>
  <si>
    <t>Results_Water</t>
  </si>
  <si>
    <t>Results_Water_Cumulated</t>
  </si>
  <si>
    <t>Results_AWARE_Type</t>
  </si>
  <si>
    <t>Results_Note</t>
  </si>
  <si>
    <t>Results_Cumulated_Energy</t>
  </si>
  <si>
    <t>Units_Share</t>
  </si>
  <si>
    <t>What_if_Header</t>
  </si>
  <si>
    <t>What_if_Header_Text</t>
  </si>
  <si>
    <t>What_if_Total_LCC</t>
  </si>
  <si>
    <t>What_if_Material_Flows</t>
  </si>
  <si>
    <t>What_if_GWP</t>
  </si>
  <si>
    <t>What_if_E-LCC</t>
  </si>
  <si>
    <t>What_if_Domain</t>
  </si>
  <si>
    <t>What_if_Change_Electricity</t>
  </si>
  <si>
    <t>What_if_Change_Other</t>
  </si>
  <si>
    <t>What_if_Change_Water</t>
  </si>
  <si>
    <t>What_if_Change_Refrigerant</t>
  </si>
  <si>
    <t>What_if_Change</t>
  </si>
  <si>
    <t>What_if_Which_part</t>
  </si>
  <si>
    <t>What_if_Changes_Costs</t>
  </si>
  <si>
    <t>What_if_Changes_Costs_Text</t>
  </si>
  <si>
    <t>What_if_No_measure</t>
  </si>
  <si>
    <t>What_if_Transport1</t>
  </si>
  <si>
    <t>What_if_Warehouse</t>
  </si>
  <si>
    <t>What_if_Transport2</t>
  </si>
  <si>
    <t>What_if_Transport3</t>
  </si>
  <si>
    <t>What_if_Storage</t>
  </si>
  <si>
    <t>What_if_Retailer</t>
  </si>
  <si>
    <t>What_if_Water</t>
  </si>
  <si>
    <t>What_if_Electricity</t>
  </si>
  <si>
    <t>What_if_Fuel2</t>
  </si>
  <si>
    <t>What_if_Fuel1</t>
  </si>
  <si>
    <t>What_if_Other</t>
  </si>
  <si>
    <t>What_if_Refrigerant</t>
  </si>
  <si>
    <t>What_if_Implemented_Measure</t>
  </si>
  <si>
    <t>What_if_Cost_Related_Material_Flows</t>
  </si>
  <si>
    <t>What_if_Cost_Related_GWP</t>
  </si>
  <si>
    <t>What_if_Sensitivity</t>
  </si>
  <si>
    <t>What_if_Sensitivity_Text</t>
  </si>
  <si>
    <t>What_if_Fuels</t>
  </si>
  <si>
    <t>What_if_District</t>
  </si>
  <si>
    <t>What_if_Refrigerants</t>
  </si>
  <si>
    <t>What_if_Enviromental_Costs</t>
  </si>
  <si>
    <t>What_if_Enviromental_Costs_Text</t>
  </si>
  <si>
    <t>What_if_Sensitivity_Analysis</t>
  </si>
  <si>
    <t>What_if_Sensitivity_Analysis_Text</t>
  </si>
  <si>
    <t>What_if_Sensitivity_Calculation</t>
  </si>
  <si>
    <t>What_if_Sensitivity_Calculation_Text</t>
  </si>
  <si>
    <t>Units_Euro_ton</t>
  </si>
  <si>
    <t>Units_Euro_kWh</t>
  </si>
  <si>
    <t>Units_Euro_l</t>
  </si>
  <si>
    <t>Units_Euro_kg</t>
  </si>
  <si>
    <t>Units_Euro_m3</t>
  </si>
  <si>
    <t>Hidden_Database_Header</t>
  </si>
  <si>
    <t>Hidden_Database_Warning1</t>
  </si>
  <si>
    <t>Hidden_Database_Warning2</t>
  </si>
  <si>
    <t>Internal lists only. Please do not modify this sheet unless you know what you are doing. This sheet is copyrighted and subject to the specific licence conditions.</t>
  </si>
  <si>
    <t>Important: Do not add or remove columns as indirect references are used in the calculation sheets!</t>
  </si>
  <si>
    <t>Hidden_Database_Category</t>
  </si>
  <si>
    <t>Hidden_Database_Road_Transport_1</t>
  </si>
  <si>
    <t>Hidden_Database_Road_Transport_2</t>
  </si>
  <si>
    <t>Hidden_Database_Finished</t>
  </si>
  <si>
    <t>Hidden_Database_Semi</t>
  </si>
  <si>
    <t>Hidden_Database_Waste</t>
  </si>
  <si>
    <t>Hidden_Database_Water</t>
  </si>
  <si>
    <t>Hidden_Database_Electricity</t>
  </si>
  <si>
    <t>Hidden_Database_Other</t>
  </si>
  <si>
    <t>Hidden_Database_Fuels</t>
  </si>
  <si>
    <t>Hidden_Database_Global</t>
  </si>
  <si>
    <t>Hidden_Database_Refrigerants</t>
  </si>
  <si>
    <t>Hidden_Database_Product</t>
  </si>
  <si>
    <t>Hidden_Database_Truck_1</t>
  </si>
  <si>
    <t>Hidden_Database_Truck_2</t>
  </si>
  <si>
    <t>Hidden_Database_Milk</t>
  </si>
  <si>
    <t>Hidden_Database_cheese</t>
  </si>
  <si>
    <t>Hidden_Database_Chicken</t>
  </si>
  <si>
    <t>Hidden_Database_Pork</t>
  </si>
  <si>
    <t>Hidden_Database_Beef</t>
  </si>
  <si>
    <t>Hidden_Database_Eggs</t>
  </si>
  <si>
    <t>Hidden_Database_Fresh_Fish</t>
  </si>
  <si>
    <t>Hidden_Database_Frozen_Fish</t>
  </si>
  <si>
    <t>Hidden_Database_Yogurt</t>
  </si>
  <si>
    <t>Hidden_Database_Apple</t>
  </si>
  <si>
    <t>Hidden_Database_Avocado</t>
  </si>
  <si>
    <t>Hidden_Database_Banana</t>
  </si>
  <si>
    <t>Hidden_Database_Orange</t>
  </si>
  <si>
    <t>Hidden_Database_Peach</t>
  </si>
  <si>
    <t>Hidden_Database_Strawberry</t>
  </si>
  <si>
    <t>Hidden_Database_Tomato</t>
  </si>
  <si>
    <t>Hidden_Database_Carrot</t>
  </si>
  <si>
    <t>Hidden_Database_Onion</t>
  </si>
  <si>
    <t>Hidden_Database_Potato</t>
  </si>
  <si>
    <t>Hidden_Database_Lettuce</t>
  </si>
  <si>
    <t>Hidden_Database_Packaging_Materials</t>
  </si>
  <si>
    <t>Hidden_Database_Packaging_Glass</t>
  </si>
  <si>
    <t>Hidden_Database_Board_Box</t>
  </si>
  <si>
    <t>Hidden_Database_Bottles</t>
  </si>
  <si>
    <t>Hidden_Database_Cardboard_1</t>
  </si>
  <si>
    <t>Hidden_Database_Cardboard_2</t>
  </si>
  <si>
    <t>Hidden_Database_Glass_1</t>
  </si>
  <si>
    <t>Hidden_Database_Glass_2</t>
  </si>
  <si>
    <t>Hidden_Database_Polyethylene_1</t>
  </si>
  <si>
    <t>Hidden_Database_Polyethylene_2</t>
  </si>
  <si>
    <t>Hidden_Database_Waste_1</t>
  </si>
  <si>
    <t>Hidden_Database_Waste_2</t>
  </si>
  <si>
    <t>Hidden_Database_Waste_3</t>
  </si>
  <si>
    <t>Hidden_Database_Waste_4</t>
  </si>
  <si>
    <t>Hidden_Database_Wastewater</t>
  </si>
  <si>
    <t>Hidden_Database_Tap_Water</t>
  </si>
  <si>
    <t>Hidden_Database_Electricity_Mix</t>
  </si>
  <si>
    <t>Hidden_Database_Natural_Gas</t>
  </si>
  <si>
    <t>Hidden_Database_Diesel</t>
  </si>
  <si>
    <t>Hidden_Database_Ethanol</t>
  </si>
  <si>
    <t>Hidden_Database_Methane</t>
  </si>
  <si>
    <t>Hidden_Database_Bio_Diesel</t>
  </si>
  <si>
    <t>Hidden_Database_Heat</t>
  </si>
  <si>
    <t>Hidden_Database_District</t>
  </si>
  <si>
    <t>Hidden_Database_Cooling_1</t>
  </si>
  <si>
    <t>Hidden_Database_Cooling_2</t>
  </si>
  <si>
    <t>Hidden_Database_Cooling_3</t>
  </si>
  <si>
    <t>Hidden_Database_Amount</t>
  </si>
  <si>
    <t>Hidden_Database_Unit</t>
  </si>
  <si>
    <t>Hidden_Database_GWP</t>
  </si>
  <si>
    <t>Hidden_Database_CED</t>
  </si>
  <si>
    <t>Hidden_Database_AWARE</t>
  </si>
  <si>
    <t>Hidden_Database_LHV</t>
  </si>
  <si>
    <t>Hidden_Database_Prices</t>
  </si>
  <si>
    <t>Units_euro_unit</t>
  </si>
  <si>
    <t>Units_tkm</t>
  </si>
  <si>
    <t>Hidden_Lists_Header</t>
  </si>
  <si>
    <t>Hidden_Lists_Header_Text</t>
  </si>
  <si>
    <t>Hidden_Lists_List</t>
  </si>
  <si>
    <t>Hidden_Lists_Entry</t>
  </si>
  <si>
    <t>Hidden_Lists_Languages</t>
  </si>
  <si>
    <t>Hidden_Lists_Yes_No</t>
  </si>
  <si>
    <t>Hidden_Lists_Refrigerants</t>
  </si>
  <si>
    <t>Hidden_Lists_Chain</t>
  </si>
  <si>
    <t>Hidden_Lists_Products</t>
  </si>
  <si>
    <t>Hidden_Lists_No</t>
  </si>
  <si>
    <t>Hidden_Lists_Yes</t>
  </si>
  <si>
    <t>Hidden_Lists_Refrigerant</t>
  </si>
  <si>
    <t>Hidden_Lists_Leakage</t>
  </si>
  <si>
    <t>Hidden_Lists_Global</t>
  </si>
  <si>
    <t>Hidden_Lists_Regional</t>
  </si>
  <si>
    <t>Hidden_Lists_Category</t>
  </si>
  <si>
    <t>Hidden_Lists_Dairy</t>
  </si>
  <si>
    <t>Hidden_Lists_Fish</t>
  </si>
  <si>
    <t>Hidden_Lists_Ready</t>
  </si>
  <si>
    <t>Hidden_Lists_Fruits</t>
  </si>
  <si>
    <t>Hidden_Lists_Meat</t>
  </si>
  <si>
    <t>Hidden_Lists_Individual</t>
  </si>
  <si>
    <t>Hidden_Lists_Product_Category</t>
  </si>
  <si>
    <t>Hidden_Lists_Frozen_Meat</t>
  </si>
  <si>
    <t>Hidden_Lists_Beef</t>
  </si>
  <si>
    <t>Hidden_Lists_No_Product</t>
  </si>
  <si>
    <t>Hidden_Lists_Temp_Category</t>
  </si>
  <si>
    <t>Hidden_Lists_Cream</t>
  </si>
  <si>
    <t>Hidden_Lists_Cheese</t>
  </si>
  <si>
    <t>Hidden_Lists_Milk</t>
  </si>
  <si>
    <t>Hidden_Lists_Poultry</t>
  </si>
  <si>
    <t>Hidden_Lists_Product</t>
  </si>
  <si>
    <t>Hidden_Lists_Fresh_Fish</t>
  </si>
  <si>
    <t>Hidden_Lists_Cooked</t>
  </si>
  <si>
    <t>Hidden_Lists_Frozen</t>
  </si>
  <si>
    <t>Hidden_Lists_Fresh</t>
  </si>
  <si>
    <t>Hidden_Lists_Frozen_Eggs</t>
  </si>
  <si>
    <r>
      <t>Storage temperature [</t>
    </r>
    <r>
      <rPr>
        <vertAlign val="superscript"/>
        <sz val="11"/>
        <color theme="1"/>
        <rFont val="Calibri"/>
        <family val="2"/>
        <charset val="238"/>
        <scheme val="minor"/>
      </rPr>
      <t>o</t>
    </r>
    <r>
      <rPr>
        <sz val="11"/>
        <color theme="1"/>
        <rFont val="Calibri"/>
        <family val="2"/>
        <scheme val="minor"/>
      </rPr>
      <t>C]</t>
    </r>
  </si>
  <si>
    <r>
      <t>Transport temperature [</t>
    </r>
    <r>
      <rPr>
        <vertAlign val="superscript"/>
        <sz val="11"/>
        <color theme="1"/>
        <rFont val="Calibri"/>
        <family val="2"/>
        <charset val="238"/>
        <scheme val="minor"/>
      </rPr>
      <t>o</t>
    </r>
    <r>
      <rPr>
        <sz val="11"/>
        <color theme="1"/>
        <rFont val="Calibri"/>
        <family val="2"/>
        <scheme val="minor"/>
      </rPr>
      <t>C]</t>
    </r>
  </si>
  <si>
    <t>Hidden_Lists_Storage_T</t>
  </si>
  <si>
    <t>Hidden_Lists_Transport_T</t>
  </si>
  <si>
    <t>Hidden_Lists_Fuel_Consumption</t>
  </si>
  <si>
    <t>Hidden_Lists_Road_Transport</t>
  </si>
  <si>
    <t>Hidden_Lists_For_Refrigeration</t>
  </si>
  <si>
    <t>Hidden_Lists_Lorry_1</t>
  </si>
  <si>
    <t>Hidden_Lists_Lorry_2</t>
  </si>
  <si>
    <t>Hidden_Lists_Diesel</t>
  </si>
  <si>
    <t>Density</t>
  </si>
  <si>
    <t>Hidden_Lists_Type</t>
  </si>
  <si>
    <t>Hidden_Lists_Heavy</t>
  </si>
  <si>
    <t>Hidden_Lists_Density</t>
  </si>
  <si>
    <t>Hidden_Lists_Fuel_Consumption_1</t>
  </si>
  <si>
    <t>Hidden_Lists_Fuel_Consumption_2</t>
  </si>
  <si>
    <t>Hidden_Lists_Light</t>
  </si>
  <si>
    <t>Hidden_Lists_Medium</t>
  </si>
  <si>
    <t>Hidden_Lists_Temperature</t>
  </si>
  <si>
    <t>Hidden_Lists_Fuel_Consumption_3</t>
  </si>
  <si>
    <t>Hidden_Lists_Product_Group</t>
  </si>
  <si>
    <t>Hidden_Lists_Temp_Category2</t>
  </si>
  <si>
    <t>Hidden_Lists_Selection_Table_1</t>
  </si>
  <si>
    <t>Hidden_Lists_Selection_Table_2</t>
  </si>
  <si>
    <t>Hidden_Lists_Not_Included</t>
  </si>
  <si>
    <t>Hidden_Lists_Current_Selection</t>
  </si>
  <si>
    <t>Hidden_Lists_Categories</t>
  </si>
  <si>
    <t>Hidden_Lists_Currently_1</t>
  </si>
  <si>
    <t>Hidden_Lists_Currently_2</t>
  </si>
  <si>
    <t>Hidden_Lists_Currently_3</t>
  </si>
  <si>
    <t>Hidden_Lists_Currently_4</t>
  </si>
  <si>
    <t>Hidden_Lists_Cold_Chain</t>
  </si>
  <si>
    <t>Hidden_Lists_Frozen_Fish</t>
  </si>
  <si>
    <t>Hidden_Lists_Super_Fish</t>
  </si>
  <si>
    <t>Hidden_Lists_Heavy2</t>
  </si>
  <si>
    <t>Bitte wählen Sie zunächst, ob Sie eine regionale oder globale Lieferkette analysieren möchten. Die globale Lieferkette beinhaltet zusätzliche Schritte in der Kette für den Langstreckentransport (siehe Abbildung oben).</t>
  </si>
  <si>
    <t>Bitte wählen Sie die Art der Kühllieferkette</t>
  </si>
  <si>
    <t>Individualisiertes Produkt (optional)</t>
  </si>
  <si>
    <t xml:space="preserve">In der Analyse können Sie bis zu zwei Produkte auswerten. Die hinterlegte Datenbank bietet eine Reihe von vordefinierten Produkten mit Standardwerten aus der Ecoinvent-Datenbank. Zusätzlich zur Verwendung dieser Werte können Sie auch ein individuelles Produkt festlegen. Wenn Sie dies tun wollen, füllen Sie bitte diesen Abschnitt aus oder überspringen Sie ihn andernfalls. Der hier erstellte Eintrag erscheint dann automatisch in der Auswahlliste der Produkte im nächsten Schritt. </t>
  </si>
  <si>
    <t>Produktname</t>
  </si>
  <si>
    <t xml:space="preserve">Erderwärmungspotenzial </t>
  </si>
  <si>
    <t>Kumulierter Energieaufwand</t>
  </si>
  <si>
    <t>Wasserbedarf</t>
  </si>
  <si>
    <t>Lagertemperatur (-20 bis +20°C)</t>
  </si>
  <si>
    <t>Transporttemperatur (-20 bis +20°C)</t>
  </si>
  <si>
    <t>#0: Rohstoffdefinition</t>
  </si>
  <si>
    <t>Hier können Sie Produkte aus den vorhandenen Vorgaben oder Ihrer Individualisierung auswählen. Die Temperaturniveaus für Transport und Lagerung werden automatisch eingestellt. Alle Wirkungen, die durch die Rohstoffbereitstellung und den Transport zum nachfolgenden Verarbeiter (nächster Schritt) aufkommen, werden automatisch berücksichtigt.</t>
  </si>
  <si>
    <t>Produktkategorie</t>
  </si>
  <si>
    <t>Temperaturkategorie</t>
  </si>
  <si>
    <t>Produkt</t>
  </si>
  <si>
    <t>Menge pro Charge (ohne Verpackung)</t>
  </si>
  <si>
    <t>#2: Direkttransport (Lieferant - Hersteller)</t>
  </si>
  <si>
    <t>#3: Hersteller</t>
  </si>
  <si>
    <t>#4: Direkttransport (Hersteller - Distributeur)</t>
  </si>
  <si>
    <t>#5: Distributeur</t>
  </si>
  <si>
    <t>#6: Mehrzieltransport (Distributeur - Einzelhändler)</t>
  </si>
  <si>
    <t>#7: Einzelhändler</t>
  </si>
  <si>
    <t>Dieser Schritt befasst sich mit dem Transport vom Rohmateriallieferanten zum Produzenten/Verarbeiter.</t>
  </si>
  <si>
    <t>Fahrzeugnutzung</t>
  </si>
  <si>
    <t>Fahrzeug</t>
  </si>
  <si>
    <t>Art des Fahrzeugs</t>
  </si>
  <si>
    <t>Strecke</t>
  </si>
  <si>
    <t>Fahrtdauer</t>
  </si>
  <si>
    <t>Menge des transporierten Rohmaterials</t>
  </si>
  <si>
    <t>Kältetechnik</t>
  </si>
  <si>
    <t>Erfolgt die Kühlung durch Hilfsaggregate in den Transportfahrzeugen?</t>
  </si>
  <si>
    <t>Kältemittel</t>
  </si>
  <si>
    <t>Verpackungsmaterial</t>
  </si>
  <si>
    <t>Per batch: Packaging to transport as payload</t>
  </si>
  <si>
    <t xml:space="preserve">Je Charge: zu transportierende Nahrungsmittelmenge </t>
  </si>
  <si>
    <t>Je Charge: zu transportierende Verpackungsmenge</t>
  </si>
  <si>
    <t>Je Charge: insgessamt zu transporiende Menge</t>
  </si>
  <si>
    <t>Gesamtwert: Jahresproduktion (Nahrungsmittel einschl. Verpackung)</t>
  </si>
  <si>
    <t>Lagerung nach der Verarbeitung</t>
  </si>
  <si>
    <t>Lagerzeit einer Charge im Warenhaus</t>
  </si>
  <si>
    <t>Für eine Charge notwendiges Warenhausvolumen.</t>
  </si>
  <si>
    <t>Gesamtfläche des Lagers</t>
  </si>
  <si>
    <t>Strom aus dem Netz</t>
  </si>
  <si>
    <t>Art des Kältemittels</t>
  </si>
  <si>
    <t>Abfall</t>
  </si>
  <si>
    <t>Sie können bis zu fünf Fahrzeuge angeben, die für den Transport in diesem Bereich der Lieferkette verwendet werden. Bitte wählen Sie zunächst, ob die Kühlung in diesen Fahrzeugen durch den Motor der Fahrzeuge oder durch Nebenaggregate erfolgt.</t>
  </si>
  <si>
    <t>This section is only required if auxiliary units are used on the transport vehicles. Otherwise, it can be skipped. The electricial power refers to any demand of independent units for refrigeration and ventilation. The annual refrigeration precharge refers to the total amount of refrigerant precharged per vehicle at the beginning of an operation year, i.e. it corresponds to the losses of refrigerant per year</t>
  </si>
  <si>
    <t xml:space="preserve">Dieser Abschnitt ist nur erforderlich, wenn Nebenaggregate zur Kühlung für die Transportfahrzeuge verwendet werden. Ansonsten kann er übersprungen werden. Die elektrische Leistungsaufnahme bezieht sich ausschließlich auf den Bedarf der unabhängigen Aggregate für Kühlung und Lüftung. Die jährliche Kältemittelvorfüllung bezieht sich auf die Gesamtmenge des vorgeförderten Kältemittels pro Fahrzeug zu Beginn eines Betriebsjahres, d. h. sie entspricht den Kältemittelverlusten pro Jahr.
</t>
  </si>
  <si>
    <t>Elektrischer Verbrauch der Nebenaggregate</t>
  </si>
  <si>
    <t>Jährlicher Waserverbrauch</t>
  </si>
  <si>
    <t>Die Aktivitäten beim Hersteller beziehen sich auf die Verarbeitung der Rohstoffe (Lebensmittel einschließlich Verpackung und anderem) zu einem fertigen Lebensmittel, das über die Lieferkette zum Verbraucher transportiert werden kann.</t>
  </si>
  <si>
    <t>Verpackung &amp; Produktion</t>
  </si>
  <si>
    <t xml:space="preserve">Bitte geben Sie die Materialien an, die für die Verpackung der zuvor angegebenen Gesamtmenge an Produkten benötigt werden. </t>
  </si>
  <si>
    <t>Jährliche anfängliche Vorbefüllung</t>
  </si>
  <si>
    <t>Jährliche anfängliche Kältemittelvorbefüllung</t>
  </si>
  <si>
    <t>Bitte wählen Sie die Art und Menge der Abfälle und Abwässer und deren Entsorgung sowie das Transportmittel für die Entsorgung der Abfälle.</t>
  </si>
  <si>
    <t>Abfallart und -entsorgung</t>
  </si>
  <si>
    <t>Abfallmenge pro Jahr</t>
  </si>
  <si>
    <t>Transportstrecke per LKW</t>
  </si>
  <si>
    <t>#3a: Direkttransport (Hersteller -Docks/Flughafen)</t>
  </si>
  <si>
    <t>#3c: Direkttransport (Ursprungs- - Zielgebiet)</t>
  </si>
  <si>
    <t>#3b: Lagerungen an den Docks/am Flughafen im Ursprungsgebiet</t>
  </si>
  <si>
    <t>#3d: Lagerungen an den Docks/am Flughafen im Zielgebiet</t>
  </si>
  <si>
    <t xml:space="preserve">Dieser ausschließlich  für globale Lieferketten relevante Schritt befasst sich mit der Lagerung nach dem Langstreckentransport. </t>
  </si>
  <si>
    <t>(nur für globale Lieferketten)</t>
  </si>
  <si>
    <t>Das Ausfüllen dieser Zellen ist nur notwendig, wenn Nebenaggregate genutzt werden.</t>
  </si>
  <si>
    <t xml:space="preserve">This step for global supply chains only adresses transport before long distance transport. </t>
  </si>
  <si>
    <t xml:space="preserve">Dieser ausschließlich  für globale Lieferketten relevante Schritt befasst sich mit dem Transport vor einem Langstreckentransport. </t>
  </si>
  <si>
    <t xml:space="preserve">Dieser ausschließlich  für globale Lieferketten relevante Schrit befasst sich mit dem Langstreckentransport via Flugzeug oder Schiff vom Lager im Ausgangsgebiet zum Lager im Zielgebiet. </t>
  </si>
  <si>
    <t>Dieser ausschließlich  für globale Lieferketten relevante Schrit befasst sich mit der Lagerung vor dem Langstreckentransport.</t>
  </si>
  <si>
    <t>Dieser Schritt befasst sich mit dem Transport vom Lieferanten oder - im Falle einer globalen Lieferkette - vom letzten Dock/Flughafen zum Verteilzentrum.</t>
  </si>
  <si>
    <t xml:space="preserve">Dieser Schritt befasst sich mit der Lagerung von Produkten im Verteilzentrum. </t>
  </si>
  <si>
    <t>Lagerung</t>
  </si>
  <si>
    <t>Durchschnittliche Menge an gelagerten Produkten pro Jahr</t>
  </si>
  <si>
    <t>Diese Schritte umfasst die Verteilung der Produkte vom Lager zu den Einzelhändlern.</t>
  </si>
  <si>
    <t>Als letzter Schritt in der Lieferkette ist der Einzelhändler der Ort, an dem Verbraucher Lebensmittel kaufen und mitnehmen können.</t>
  </si>
  <si>
    <t>#2: Ökobilanz: Ergebnisse</t>
  </si>
  <si>
    <t>In dieser Analyse werden die Umweltauswirkungen entlang der drei heute am häufigsten betrachteten Wirkungskategorien dargestellt. Diese Ergebnisse sind potenzielle Auswirkungen, die durch die modellierten Aktivitäten pro Funktionseinheit verursacht werden.</t>
  </si>
  <si>
    <t>Globale Erwärmungspotenziale (GWP)</t>
  </si>
  <si>
    <t>Die Ermittlung der globalen Erderwärmungspotenziale (GWP) basiert auf der vom Intergovernmental Panel on Climate Change (IPCC) entwickelten "2013er-Methode". Sie liefert Ergebnisse für einen Zeithorizont von 100 Jahren und drückt die Auswirkungen in kg Kohlendioxid-Äquivalenten aus.</t>
  </si>
  <si>
    <t>GWP nach Bereich: Wert pro funktioneller Einheit</t>
  </si>
  <si>
    <t>Bitte beachten Sie, dass die Auswirkungen aus der Rohstoffgewinnung dem Hersteller zugerechnet werden.</t>
  </si>
  <si>
    <t>Auswirkungen pro kg des Endprodukts</t>
  </si>
  <si>
    <t>GWP kumuliert</t>
  </si>
  <si>
    <t>GWP nach Prozessart: Wert pro funktioneller Einheit</t>
  </si>
  <si>
    <t>Kumulierter Energieaufwand (CED)</t>
  </si>
  <si>
    <t>Der kumulierte Energiebedarf (KEA) basiert auf der Methode des Umweltdatensystems "ecoinvent Version 2.0", das von PRé Consultants für die in der Lebenszyklusdatenbank "SimaPro 7" verfügbaren Rohstoffe erweitert wurde.</t>
  </si>
  <si>
    <t>KEA nach Prozessart: Wert pro funktioneller Einheit</t>
  </si>
  <si>
    <t xml:space="preserve">KEA </t>
  </si>
  <si>
    <t>KEA kumuliert</t>
  </si>
  <si>
    <t>KEA nach Bereich: Wert pro funktioneller Einheit</t>
  </si>
  <si>
    <t>Wasserbedarf (AWARE)</t>
  </si>
  <si>
    <t xml:space="preserve">Die AWARE-Methode (Availalble WAter Remaining) wird von der internationalen Arbeitsgruppe "Water Use Assessment and Footprinting" (WULCA) für Ökobilanzanalysen empfohlen. Im Mai 2016 wurde die Methode auch vom "Joint Research Center" der EU befürwortet. AWARE stellt den relativen Wasserverbrauch pro Fläche in einem Einzugsgebiet dar, nachdem der Bedarf von Menschen und aquatischen Ökosystemen gedeckt wurde. Sie bewertet das Potenzial des Wasserentzugs für Menschen oder Ökosysteme aufbauend auf der Annahme, dass mit weniger verfügbarem Wasser pro Fläche die Wahrscheinlichkeit eines Wasserengpasses für anderer Nutzungen steigt. </t>
  </si>
  <si>
    <t>AWARE nach Bereich: Wert pro funktioneller Einheit</t>
  </si>
  <si>
    <t>Wasser</t>
  </si>
  <si>
    <t>Wasser kumuliert</t>
  </si>
  <si>
    <t>AWARE nach Prozessart: Wert pro funktioneller Einheit</t>
  </si>
  <si>
    <t>#2: Ökobilanz: Wass wenn?</t>
  </si>
  <si>
    <t>Auf diesem Blatt werden die Umweltkosten der Bereiche in einer aggregierten Form dargestellt. Um die Auswirkungen möglicher Energieeffizienzmaßnahmen auf diese Kosten zu zeigen, können Sie die Eingabewerte für den Verbrauch auf diesem Blatt ändern und die Auswirkungen auf die Gesamtkosten der gesamten Kühllieferkette sehen. Die Umweltlebenszykluskosten (Environmental Life Cycle Cost, E-LCC) liefern die Kosten in Bezug auf Materialströme wie Energie, Brennstoffe und Kohlendioxidemissionen, enthalten jedoch keine Kapital- oder Arbeitskosten.</t>
  </si>
  <si>
    <t>Umweltkosten nach Bereich</t>
  </si>
  <si>
    <t>Die folgende Tabelle zeigt die ökologischen Lebenszykluskosten (E-LCC) pro Bereich, d. h. die Umweltkosten pro Tonne des gelieferten Produkts beim Status quo ohne Energieeffizienzmaßnahmen. Bitte beachten Sie, dass sie sich nur auf die Teile der lokalen Lieferketten konzentriert.</t>
  </si>
  <si>
    <t xml:space="preserve">Total environmental LCC per ton delivered </t>
  </si>
  <si>
    <t>Gesamte Umwelt-LCC pro gelieferter Tonne</t>
  </si>
  <si>
    <t>Materialflüsse</t>
  </si>
  <si>
    <t>Sensitivitätsanalyse</t>
  </si>
  <si>
    <t>Änderungsbereich</t>
  </si>
  <si>
    <t>Im Folgenden können Sie potenzielle Einsparungen durch die Umsetzung von Energieeffizienzmaßnahmen entlang der Kühllieferkette sowie den Bereich angeben, in der diese Änderungen gelten. Einsparungen sollten durch negative Werte angegeben werden.</t>
  </si>
  <si>
    <t>Änderung der Stromnachfrage</t>
  </si>
  <si>
    <t>Änderung sonstiger Energieträger</t>
  </si>
  <si>
    <t>Änderung des Wasserverbrauchs</t>
  </si>
  <si>
    <t>Änderung der Kältemittelvorbefüllung</t>
  </si>
  <si>
    <t>Welcher Bereich der Kette ist durch die Maßnahmen betroffen?</t>
  </si>
  <si>
    <t>Which step of the chain does the EEM affect?</t>
  </si>
  <si>
    <t>Änderung der Umweltlebenszykluskosten</t>
  </si>
  <si>
    <t>Änderungen der Umweltlebenszykluskosten für die gesamte Kette verglichen mit der Situation ohne Maßnahmen</t>
  </si>
  <si>
    <t>Sensitivitätsberechnung</t>
  </si>
  <si>
    <t>Nachfolgend finden Sie die detaillierten Kosten für die Umweltlebenszykluskosten mit und ohne Maßnahme.</t>
  </si>
  <si>
    <t>Kosten in Verbindung mit dem Materialfluss</t>
  </si>
  <si>
    <t>Keine Maßnahme</t>
  </si>
  <si>
    <t>Transport zum Verarbeiter</t>
  </si>
  <si>
    <t>Warenhaus</t>
  </si>
  <si>
    <t>Tranport 2</t>
  </si>
  <si>
    <t>Storage at distribution center</t>
  </si>
  <si>
    <t>Lagerung im Verteilzentrum</t>
  </si>
  <si>
    <t>Retailer backroom</t>
  </si>
  <si>
    <t>Einzelhändler: Lagerbereich</t>
  </si>
  <si>
    <t>Kraftstoff für Transport</t>
  </si>
  <si>
    <t>Kraftstoff für Kühlung</t>
  </si>
  <si>
    <t>Umsetzte Maßnahme</t>
  </si>
  <si>
    <t>Kosten in Verbindung mit dem GWP</t>
  </si>
  <si>
    <t>Sensitivitätsanalyse: Preise</t>
  </si>
  <si>
    <t>In diesem Abschnitt können Sie die Preiseinstellungen für verschiedene Materialflüsse, die für die E-LCC-Berechnung relevant sind, ändern.</t>
  </si>
  <si>
    <t>Brennstoffe</t>
  </si>
  <si>
    <t>Fern- oder industrielle Wärme</t>
  </si>
  <si>
    <t>Kühlmittel</t>
  </si>
  <si>
    <t>#2: Life cycle assessment: Database</t>
  </si>
  <si>
    <t>#2 Ökobilanz: Datenbank</t>
  </si>
  <si>
    <t>Interne Listen. Bitte verändern Sie dieses Blatt nur, wenn Sie wissen, was Sie tun. Dieses Blatt ist urheberrechtlich geschützt und unterliegt spezifischen Lizenzbedingungen.</t>
  </si>
  <si>
    <t xml:space="preserve">Wichtig! Keine Spalten hinzufügen oder entfernen, da in den Berechnungsblättern indirekte Referenzen verwendet werden!
</t>
  </si>
  <si>
    <t>Kategorie</t>
  </si>
  <si>
    <t>Straßentransport: Gekühlt</t>
  </si>
  <si>
    <t>Road transport: Long Distance</t>
  </si>
  <si>
    <t>Straßentransport: Langstrecke</t>
  </si>
  <si>
    <t>Endprodukte</t>
  </si>
  <si>
    <t>Zwischenprodukte</t>
  </si>
  <si>
    <t>Verpackungsmaterialien</t>
  </si>
  <si>
    <t>Abfallentsorgung</t>
  </si>
  <si>
    <t>Strom gemäß Ländermix</t>
  </si>
  <si>
    <t>Sonstige Energieträger</t>
  </si>
  <si>
    <t>Kraftstoffe für Kälte während des Transports</t>
  </si>
  <si>
    <t>Fuels for transport refrigeration</t>
  </si>
  <si>
    <t xml:space="preserve">Global transport </t>
  </si>
  <si>
    <t>Globaler Transport</t>
  </si>
  <si>
    <t>Produkt/Prozess</t>
  </si>
  <si>
    <t>LKW</t>
  </si>
  <si>
    <t>LWK (R134a-Kühlung)</t>
  </si>
  <si>
    <t>Verarbeitete Milch</t>
  </si>
  <si>
    <t>Käse</t>
  </si>
  <si>
    <t>Huhn</t>
  </si>
  <si>
    <t>Schweinefleisch</t>
  </si>
  <si>
    <t>Rindfleisch</t>
  </si>
  <si>
    <t>Eier</t>
  </si>
  <si>
    <t>Frischer Fisch (in Eis)</t>
  </si>
  <si>
    <t>Gefrorener Fisch</t>
  </si>
  <si>
    <t>Joghurt</t>
  </si>
  <si>
    <t>Apfel</t>
  </si>
  <si>
    <t>Banane</t>
  </si>
  <si>
    <t>Frische Orange</t>
  </si>
  <si>
    <t>Pfirsich</t>
  </si>
  <si>
    <t>Erdbeere</t>
  </si>
  <si>
    <t>Frische Tomate</t>
  </si>
  <si>
    <t>Karotte</t>
  </si>
  <si>
    <t>Zwiebel</t>
  </si>
  <si>
    <t>Kartoffel</t>
  </si>
  <si>
    <t>Kopfsalat</t>
  </si>
  <si>
    <t>Verpackungsglass</t>
  </si>
  <si>
    <t>Karton aus Wellpappe</t>
  </si>
  <si>
    <t>HDPE-Flaschen</t>
  </si>
  <si>
    <t>Pappe (Deponie)</t>
  </si>
  <si>
    <t>Pappe (Recycling)</t>
  </si>
  <si>
    <t>Glas (Deponie)</t>
  </si>
  <si>
    <t>Glas (Recycling)</t>
  </si>
  <si>
    <t>Polyethylen (Deponie)</t>
  </si>
  <si>
    <t>Polyethylen (Recycling)</t>
  </si>
  <si>
    <t>Biologisch abbaubare Abfälle zur industriellen Kompostierung</t>
  </si>
  <si>
    <t>Schlachthofabfälle zur kommunalen Verbrennung</t>
  </si>
  <si>
    <t>Schlachthofabfälle zu Talg und Fleisch- und Knochenmehl verarbeitet</t>
  </si>
  <si>
    <t>Biologisch abbaubarer Abfall zur anaeroben Vergärung</t>
  </si>
  <si>
    <t>Abwasser zur durchschnittlichen Kläranlage</t>
  </si>
  <si>
    <t>Leitungswasser</t>
  </si>
  <si>
    <t>Strommix Europa</t>
  </si>
  <si>
    <t>Erdgas</t>
  </si>
  <si>
    <t>Biomethan aus Vergärung</t>
  </si>
  <si>
    <t>Biomethan 96%</t>
  </si>
  <si>
    <t>Biodiesel</t>
  </si>
  <si>
    <t>Wärme aus Kleinanlage</t>
  </si>
  <si>
    <t>Frachtflugzeuge mit Kältemittel-Kühlung</t>
  </si>
  <si>
    <t>Frachtzug mit Kältemittel-Kühlung</t>
  </si>
  <si>
    <t>Gekühltes Überseefrachtschiff</t>
  </si>
  <si>
    <t>Unterer Heizwert</t>
  </si>
  <si>
    <t>Preise</t>
  </si>
  <si>
    <t>#2 Ökobilanz: Listen</t>
  </si>
  <si>
    <t>Interne Listen. Bitte verändern Sie dieses Blatt nur, wenn Sie wissen, was Sie tun.</t>
  </si>
  <si>
    <t>Liste</t>
  </si>
  <si>
    <t>Eintrag</t>
  </si>
  <si>
    <t>Sprachen</t>
  </si>
  <si>
    <t>Ja Nein</t>
  </si>
  <si>
    <t>Kette</t>
  </si>
  <si>
    <t>Produkte</t>
  </si>
  <si>
    <t>Nein</t>
  </si>
  <si>
    <t>Ja</t>
  </si>
  <si>
    <t>Leckage (% pro Jahr)</t>
  </si>
  <si>
    <t>Kühlkette</t>
  </si>
  <si>
    <t>Milchprodukte</t>
  </si>
  <si>
    <t>Fisch</t>
  </si>
  <si>
    <t>Fertiggerichte</t>
  </si>
  <si>
    <t>Obst und Gemüse</t>
  </si>
  <si>
    <t>Fleisch</t>
  </si>
  <si>
    <t>Individuelles Produkt</t>
  </si>
  <si>
    <t>Sahne</t>
  </si>
  <si>
    <t>Tiefgekühlter Fisch</t>
  </si>
  <si>
    <t>Gefrorene Fischprodukte</t>
  </si>
  <si>
    <t>Gekochte Gerichte und zubereitete Mahlzeiten</t>
  </si>
  <si>
    <t>Frisch</t>
  </si>
  <si>
    <t>Gefroren</t>
  </si>
  <si>
    <t>Geflügel, Kaninchen oder Gans</t>
  </si>
  <si>
    <t>Frozen eggs,offal, rabbit or poultry</t>
  </si>
  <si>
    <t>Gefrorene Eier, Innereien, Kaninchen oder Geflügel</t>
  </si>
  <si>
    <t>Gefrierfleisch</t>
  </si>
  <si>
    <t>Kein Produkt</t>
  </si>
  <si>
    <t>Lagertemperatur [°C]</t>
  </si>
  <si>
    <t>Transporttemperatur [°C]</t>
  </si>
  <si>
    <t>Kraftstoffverbrauch: Auswahltabelle</t>
  </si>
  <si>
    <t>Road transports</t>
  </si>
  <si>
    <t>Straßentransporte</t>
  </si>
  <si>
    <t>Für gekühlte Transporte</t>
  </si>
  <si>
    <t>LKW (R134a-gekühlt)</t>
  </si>
  <si>
    <t>Typ</t>
  </si>
  <si>
    <t>schwer</t>
  </si>
  <si>
    <t>Dichte</t>
  </si>
  <si>
    <t>Kraftstoffverbrauch: Basistabelle</t>
  </si>
  <si>
    <t>leicht</t>
  </si>
  <si>
    <t>mittel</t>
  </si>
  <si>
    <t>Temperatur</t>
  </si>
  <si>
    <t>Kraftstoffverbrauch: Inter-/extrapolierte Tabelle</t>
  </si>
  <si>
    <t>Fuel consumption: Inter-/extrapolated table</t>
  </si>
  <si>
    <t>Produktgruppe:</t>
  </si>
  <si>
    <t>Temperaturkategorie:</t>
  </si>
  <si>
    <t>#1: Produktgrupppenauswahltabelle</t>
  </si>
  <si>
    <t>#2: Produtauswahltabelle</t>
  </si>
  <si>
    <t>Nicht enthalten:</t>
  </si>
  <si>
    <t>#3: Derzeitige Auswahl</t>
  </si>
  <si>
    <t>Verfügbare Kategorien</t>
  </si>
  <si>
    <t>Derzeit gewählte Kategorie</t>
  </si>
  <si>
    <t>Derzeit gewählte Produktgruppe</t>
  </si>
  <si>
    <t>Derzeit gewählte Produktgruppen</t>
  </si>
  <si>
    <t>Derzeit verfügbare Produkte</t>
  </si>
  <si>
    <t>[share]</t>
  </si>
  <si>
    <t>[Anteil]</t>
  </si>
  <si>
    <t>[Euro/Tonne]</t>
  </si>
  <si>
    <t>[m3 eq.]</t>
  </si>
  <si>
    <t>[m3 äq.]</t>
  </si>
  <si>
    <t>[Euro/Einheit]</t>
  </si>
  <si>
    <t>Please specify the impact categorie's values per kg of delivered product at the retailer for custom product (incl. raw material transport and distribution)</t>
  </si>
  <si>
    <t>Please specify the transportation and storage values for your custom product</t>
  </si>
  <si>
    <t>Bitte geben Sie die Werte der Wirkungskategorien pro kg für das dem Einzelhändler gelieferte, individualisierte Produkt an (inkl. Rohstofftransport und Distribution)</t>
  </si>
  <si>
    <t>Bitte geben Sie die Temperaturen für Transport und Lagerung Ihres individualisierten Produktes an</t>
  </si>
  <si>
    <t>Important note: Please chose your language prior to adding any data to the empty tool and  do not change the language therelater. Otherwise, issues may occur due to drop-down fields that do not update automatically update to the new language setting.</t>
  </si>
  <si>
    <t>Wichtiger Hinweis: Bitte wählen Sie zwingend Ihre Sprache aus, bevor Sie Daten in das leere Dokument eingeben und ändern Sie die Sprache nicht nachträglich. Andernfalls kann es zu Problemen kommen, da die Auswahlfelder nicht automatisch die neue Spracheinstellung übernehmen.</t>
  </si>
  <si>
    <t>Info_Language_Caption_Note</t>
  </si>
  <si>
    <t>Ελληνικά (GR)</t>
  </si>
  <si>
    <t>Info_Copyright_Caption</t>
  </si>
  <si>
    <t xml:space="preserve">Copyright: </t>
  </si>
  <si>
    <t>Info_Copyright_Text1</t>
  </si>
  <si>
    <t>(c) ICCEE Project, 2021 (www.iccee.eu)</t>
  </si>
  <si>
    <t>(c) ICCEE Projekt, 2021 (www.iccee.eu)</t>
  </si>
  <si>
    <t>Info_Copyright_Text2</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</si>
  <si>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t>
  </si>
  <si>
    <t>Alle Rechte vorbehalten; kein Teil dieses Dokuments darf ohne schriftliche Genehmigung des Herausgebers in jedwelcher Form oder mit jedwelchen Mitteln - elektronisch, mechanisch, durch Fotokopie, Aufzeichnung oder auf andere Weise - übersetzt, vervielfältigt, in einem Abrufsystem gespeichert oder übertragen werden. Viele der Bezeichnungen, die von Herstellern und Verkäufern zur Unterscheidung ihrer Produkte verwendet werden, sind als Markenzeichen geschützt. Aus der Nennung dieser Bezeichnungen, in welcher Form auch immer, kann nicht geschlossen werden, dass die Verwendung dieser Bezeichnungen ohne Zustimmung des Eigentümers der Marke legal ist. Die alleinige Verantwortung für das Dokument liegt bei dem Projekt. Das Dokument gibt nicht unbedingt die Meinung der Europäischen Union wieder. Weder die EASME noch die Europäische Kommission sind für die Verwendung der darin enthaltenen Informationen verantwortlich. Die englische Version dieser Copyright-Information ist maßgebend. Versionen in anderen Sprachen dienen nur zu Informationszwecken.</t>
  </si>
  <si>
    <t>Consumption per year:</t>
  </si>
  <si>
    <t>Input_3_Amount_ConsumptionAnnual</t>
  </si>
  <si>
    <t xml:space="preserve">Verbrauch pro Jahr: </t>
  </si>
  <si>
    <t>Input_1_Product_SubCategory</t>
  </si>
  <si>
    <t>Product sub-category</t>
  </si>
  <si>
    <t>Produktunterkategorie</t>
  </si>
  <si>
    <t>#2: Valutazione del ciclo di vita: Info</t>
  </si>
  <si>
    <t>Questo strumento si occupa dell'analisi del ciclo di vita della catena del freddo. Permette agli utenti di eseguire un'analisi delle prestazioni ambientali lungo l'intera filiera.</t>
  </si>
  <si>
    <t>Lingua:</t>
  </si>
  <si>
    <t>Nota importante: Si prega di selezionare la lingua prima di compilare il foglio di calcolo con qualsiasi dato e di non cambiare la lingua in seguito. Altrimenti, potrebbero verificarsi dei problemi a causa dei menù a tendina che non si aggiornano automaticamente alla nuova impostazione della lingua.</t>
  </si>
  <si>
    <t>Versione: </t>
  </si>
  <si>
    <t>Scopo: </t>
  </si>
  <si>
    <t>Questi strumenti hanno lo scopo di aiutare gli attori coinvolti lungo la catena del freddo a identificare l'impatto ambientale delle loro attività. A questo scopo, l'impatto ambientale per una serie di prodotti è modellato per tre delle categorie d'impatto più comuni, cioè il potenziale di riscaldamento globale, la domanda cumulativa di energia e il consumo di acqua.</t>
  </si>
  <si>
    <t>Il modello si basa sui seguenti dati e metodi: La determinazione del potenziale di riscaldamento globale (GWP) basata sul "metodo 2013" sviluppato dall'Intergovernmental Panel on Climate Change (IPCC). Fornisce risultati su un periodo di 100 anni ed esprime l'impatto in termini di kg di anidride carbonica equivalente.</t>
  </si>
  <si>
    <t>La determinazione della Cumulative Energy Demand (CED) è basata sul metodo pubblicato dal sistema di dati ambientali "ecoinvent versione 2.0" ampliato per le materie prime disponibili nel database del ciclo di vita "SimaPro 7".</t>
  </si>
  <si>
    <t>Per determinare il consumo dell'acqua, si utilizza il metodo AWARE (Availalble WAter Remaining) in base ai suggerimenti del gruppo di lavoro internazionale sulla valutazione del consumo di acqua e sull'impronta di carbonio (WULCA).  Esso valuta il potenziale di impoverimento dell'acqua, sia per gli esseri umani che per gli ecosistemi, partendo dal presupposto che al diminuire dell'acqua per area, aumenta la probabilità che un altro utente ne venga privato.</t>
  </si>
  <si>
    <t>Destinatari</t>
  </si>
  <si>
    <t>Responsabili della catena del freddo e responsabili ambientali</t>
  </si>
  <si>
    <t>Codice colore:</t>
  </si>
  <si>
    <t>Il campo è un campo di input e richiede l'input dell'utente.</t>
  </si>
  <si>
    <t>Informazioni trasferite da un'altra parte della cartella di lavoro.</t>
  </si>
  <si>
    <t>Informazioni calcolate in base ad altri valori.</t>
  </si>
  <si>
    <t>Copyright: </t>
  </si>
  <si>
    <t>(c) Progetto ICCEE, 2021 (www.iccee.eu)</t>
  </si>
  <si>
    <r>
      <t xml:space="preserve">Tutti i diritti riservati; nessuna parte di questo documento può essere tradotta, riprodotta, memorizzata in un sistema di recupero, o trasmessa in qualsiasi forma o con qualsiasi mezzo, elettronico, meccanico, fotocopia, ri-registrazione o altro, senza il permesso scritto dell'editore. Molte delle denominazioni usate da produttori e venditori per distinguere i loro prodotti sono rivendicate come marchi di fabbrica. La citazione di tali denominazioni in qualsiasi modo non implica la conclusione che l'uso di tali denominazioni sia legale senza il </t>
    </r>
    <r>
      <rPr>
        <sz val="11"/>
        <rFont val="Calibri (Corpo)"/>
      </rPr>
      <t>consenso</t>
    </r>
    <r>
      <rPr>
        <sz val="11"/>
        <rFont val="Calibri"/>
        <family val="2"/>
        <scheme val="minor"/>
      </rPr>
      <t xml:space="preserve"> del proprietario del marchio. La responsabilità del documento è esclusivamente del progetto. Il documento non riflette necessariamente l'opinione dell'Unione Europea. Né l'EASME né la Commissione Europea sono responsabili dell'uso che può essere fatto delle informazioni in esso contenute. La versione inglese del copyright fa fede. Le versioni in altre lingue sono solo a scopo informativo.</t>
    </r>
  </si>
  <si>
    <t>#2: Valutazione del ciclo di vita: Versioni</t>
  </si>
  <si>
    <t>Cronologia delle versioni</t>
  </si>
  <si>
    <t>Data</t>
  </si>
  <si>
    <t>Versione</t>
  </si>
  <si>
    <t>Modifiche</t>
  </si>
  <si>
    <t>Modifiche apportate da</t>
  </si>
  <si>
    <t>#2: Valutazione del ciclo di vita: Input</t>
  </si>
  <si>
    <t>Di seguito è possibile specificare la propria catena del freddo compresi i relativi prodotti, i mezzi di trasporto e stoccaggio nella catena del freddo e la produzione di rifiuti. Si prega di esaminare le diverse parti di questa scheda che traccia il ciclo di vita del prodotto dal fornitore di materie prime al rivenditore. Una volta completata, passare alla scheda dei risultati per verificare i risultati dell'analisi ciclo di vita per ciascuna fase della catena e per l'intera catena nel suo complesso.</t>
  </si>
  <si>
    <t>#0: Generale</t>
  </si>
  <si>
    <r>
      <t xml:space="preserve">Si prega di scegliere prima se si desidera analizzare una supply chain </t>
    </r>
    <r>
      <rPr>
        <sz val="11"/>
        <rFont val="Calibri (Corpo)"/>
      </rPr>
      <t>locale</t>
    </r>
    <r>
      <rPr>
        <sz val="11"/>
        <rFont val="Calibri"/>
        <family val="2"/>
        <scheme val="minor"/>
      </rPr>
      <t xml:space="preserve"> o globale. La catena globale include passaggi aggiuntivi per il trasporto a lunga distanza (vedere l'illustrazione sopra).</t>
    </r>
  </si>
  <si>
    <t>Seleziona il tipo di catena del freddo</t>
  </si>
  <si>
    <t>Prodotto personalizzato (opzionale)</t>
  </si>
  <si>
    <t>Nell'analisi è possibile considerare fino a due prodotti. Il database sottostante offre una gamma di prodotti predefiniti insieme ai dati presenti nel database Ecoinvent. Oltre a utilizzare queste impostazioni predefinite, puoi anche analizzare un singolo prodotto. Se vuoi farlo, compila questa sezione, altrimenti, passa alla successiva. Ciò che inserirai qui apparirà automaticamente nella selezione dei prodotti nel passaggio successivo.</t>
  </si>
  <si>
    <t>Nome del prodotto</t>
  </si>
  <si>
    <t>Si prega di specificare i valori dell'impatto per ciascuna categoria per kg di prodotto consegnato presso il rivenditore per il prodotto personalizzato (incl. trasporto delle materie prime e distribuzione)</t>
  </si>
  <si>
    <t>Potenziale di riscaldamento globale</t>
  </si>
  <si>
    <t>Fabbisogno energetico cumulato</t>
  </si>
  <si>
    <t>Fabbisogno idrico</t>
  </si>
  <si>
    <t>Si prega di specificare i valori di trasporto e stoccaggio per il prodotto personalizzato</t>
  </si>
  <si>
    <t>Temperatura di trasporto (da -20 a +20 ⁰C)</t>
  </si>
  <si>
    <t>Temperatura di stoccaggio (da -20 a +20 ⁰C)</t>
  </si>
  <si>
    <t>#1: Definizione della materia prima</t>
  </si>
  <si>
    <r>
      <t xml:space="preserve">Qui </t>
    </r>
    <r>
      <rPr>
        <sz val="11"/>
        <color theme="1"/>
        <rFont val="Calibri (Corpo)"/>
      </rPr>
      <t xml:space="preserve">si possono </t>
    </r>
    <r>
      <rPr>
        <sz val="11"/>
        <color theme="1"/>
        <rFont val="Calibri"/>
        <family val="2"/>
        <scheme val="minor"/>
      </rPr>
      <t>s</t>
    </r>
    <r>
      <rPr>
        <sz val="11"/>
        <rFont val="Calibri"/>
        <family val="2"/>
        <scheme val="minor"/>
      </rPr>
      <t>cegliere i prodotti dai valori predefiniti o dalla</t>
    </r>
    <r>
      <rPr>
        <sz val="11"/>
        <color theme="1"/>
        <rFont val="Calibri"/>
        <family val="2"/>
        <scheme val="minor"/>
      </rPr>
      <t xml:space="preserve"> </t>
    </r>
    <r>
      <rPr>
        <sz val="11"/>
        <color theme="1"/>
        <rFont val="Calibri (Corpo)"/>
      </rPr>
      <t>sua</t>
    </r>
    <r>
      <rPr>
        <sz val="11"/>
        <color theme="1"/>
        <rFont val="Calibri"/>
        <family val="2"/>
        <scheme val="minor"/>
      </rPr>
      <t xml:space="preserve"> </t>
    </r>
    <r>
      <rPr>
        <sz val="11"/>
        <rFont val="Calibri"/>
        <family val="2"/>
        <scheme val="minor"/>
      </rPr>
      <t>precedente personalizzazione. I livelli di temperatura per il trasporto e lo stoccaggio verranno impostati automaticamente e tutti gli impatti relativi alla fornitura di materie prime e al trasporto al processo successivo (fase successiva) verranno contabilizzati automaticamente.</t>
    </r>
  </si>
  <si>
    <t>Categoria di prodotto</t>
  </si>
  <si>
    <t>Sottocategoria di prodotto</t>
  </si>
  <si>
    <t>Prodotto</t>
  </si>
  <si>
    <t>Quantità per lotto (imballaggio escluso)</t>
  </si>
  <si>
    <t>#2: Trasporto con una sola consegna (dal fornitore al produttore)</t>
  </si>
  <si>
    <t>Questo passaggio riguarda il trasporto dal fornitore di materie prime al produttore.</t>
  </si>
  <si>
    <t>Uso del veicolo</t>
  </si>
  <si>
    <t>Specificare fino a cinque veicoli utilizzati per il trasporto in questa fase della supply chain. Si prega di scegliere prima se la refrigerazione in questi veicoli è fornita dai motori dei veicoli o dalle unità ausiliarie.</t>
  </si>
  <si>
    <t>La refrigerazione è fornita da unità ausiliarie nei veicoli di trasporto?</t>
  </si>
  <si>
    <t>Veicolo</t>
  </si>
  <si>
    <t>Tipo di veicolo</t>
  </si>
  <si>
    <t>Distanza</t>
  </si>
  <si>
    <t>Tempo di viaggio</t>
  </si>
  <si>
    <t>Quantità di materia prima trasportata</t>
  </si>
  <si>
    <t>Refrigerazione</t>
  </si>
  <si>
    <r>
      <t xml:space="preserve">Questa sezione è necessaria solo se si utilizzano unità ausiliarie sui veicoli di trasporto. Altrimenti, </t>
    </r>
    <r>
      <rPr>
        <sz val="11"/>
        <rFont val="Calibri (Corpo)"/>
      </rPr>
      <t>si può saltare.</t>
    </r>
    <r>
      <rPr>
        <sz val="11"/>
        <rFont val="Calibri"/>
        <family val="2"/>
        <scheme val="minor"/>
      </rPr>
      <t xml:space="preserve"> La potenza elettrica si riferisce a qualsiasi fabbisogno delle unità indipendenti di refrigerazione e ventilazione. La </t>
    </r>
    <r>
      <rPr>
        <sz val="11"/>
        <rFont val="Calibri (Corpo)"/>
      </rPr>
      <t>carica</t>
    </r>
    <r>
      <rPr>
        <sz val="11"/>
        <rFont val="Calibri"/>
        <family val="2"/>
        <scheme val="minor"/>
      </rPr>
      <t xml:space="preserve"> annuale di refrigerante si riferisce alla quantità totale di fluido precaricato, per veicolo, all'inizio di un anno di esercizio, ovvero corrisponde alle perdite di refrigerante all'anno</t>
    </r>
  </si>
  <si>
    <t>Refrigerante</t>
  </si>
  <si>
    <r>
      <rPr>
        <sz val="11"/>
        <rFont val="Calibri (Corpo)"/>
      </rPr>
      <t>Carica</t>
    </r>
    <r>
      <rPr>
        <sz val="11"/>
        <rFont val="Calibri"/>
        <family val="2"/>
        <scheme val="minor"/>
      </rPr>
      <t xml:space="preserve"> annuale iniziale di refrigerante</t>
    </r>
  </si>
  <si>
    <t>Consumo elettrico delle unità ausiliarie</t>
  </si>
  <si>
    <t>Consumo di acqua all'anno</t>
  </si>
  <si>
    <t>#3: Produttore</t>
  </si>
  <si>
    <t>Le attività presso il produttore riguardano la trasformazione delle materie prime (prodotti alimentari inclusi gli imballaggi ed altro) in un prodotto alimentare finito pronto per il trasporto lungo una supply chain destinata al consumo.</t>
  </si>
  <si>
    <t>Imballaggio &amp; produzione</t>
  </si>
  <si>
    <t>Si prega di specificare i materiali richiesti per l'imballaggio della quantità totale dei prodotti considerati in precedenza.</t>
  </si>
  <si>
    <t>Materiale</t>
  </si>
  <si>
    <t>Materiali da imballaggio</t>
  </si>
  <si>
    <t>Quantità</t>
  </si>
  <si>
    <t>Per lotto: Prodotto alimentare da trasportare</t>
  </si>
  <si>
    <t>Per lotto: Imballaggio da trasportare come carico utile</t>
  </si>
  <si>
    <t>Per lotto: Somma da trasportare come carico utile</t>
  </si>
  <si>
    <t>Totale: Produzione annuale (prodotto alimentare incl. imballaggio)</t>
  </si>
  <si>
    <t>Conservazione dopo la trasformazione</t>
  </si>
  <si>
    <t>Tempo di conservazione di un lotto in magazzino</t>
  </si>
  <si>
    <t>Volume di magazzino occupato da un lotto</t>
  </si>
  <si>
    <t>Dimensione totale dello spazio di stoccaggio</t>
  </si>
  <si>
    <t>Elettricità dalla rete</t>
  </si>
  <si>
    <t>Consumo annuo:</t>
  </si>
  <si>
    <t>Tipo di refrigerante</t>
  </si>
  <si>
    <r>
      <rPr>
        <sz val="11"/>
        <rFont val="Calibri (Corpo)"/>
      </rPr>
      <t>Carica</t>
    </r>
    <r>
      <rPr>
        <sz val="11"/>
        <rFont val="Calibri"/>
        <family val="2"/>
        <scheme val="minor"/>
      </rPr>
      <t xml:space="preserve"> annuale iniziale</t>
    </r>
  </si>
  <si>
    <t>Rifiuto</t>
  </si>
  <si>
    <t>Selezionare il tipo e la quantità di rifiuti e acque reflue e il loro smaltimento, nonché i mezzi di trasporto per lo smaltimento dei rifiuti.</t>
  </si>
  <si>
    <t>Tipo di rifiuti e smaltimento</t>
  </si>
  <si>
    <t>Quantità di rifiuti all'anno</t>
  </si>
  <si>
    <t>Unità</t>
  </si>
  <si>
    <t>Distanza di trasporto con autocarro</t>
  </si>
  <si>
    <t>#3a: Trasporto con una sola consegna (dal produttore al porto/all'aeroporto)</t>
  </si>
  <si>
    <t>(solo per supply chain globali)</t>
  </si>
  <si>
    <r>
      <t xml:space="preserve">Questo punto per le catene globali riguarda solo il </t>
    </r>
    <r>
      <rPr>
        <sz val="11"/>
        <rFont val="Calibri (Corpo)"/>
      </rPr>
      <t>trasferimento</t>
    </r>
    <r>
      <rPr>
        <sz val="11"/>
        <rFont val="Calibri"/>
        <family val="2"/>
        <scheme val="minor"/>
      </rPr>
      <t xml:space="preserve"> prima del trasporto a lunga distanza.</t>
    </r>
  </si>
  <si>
    <t>Il riempimento di queste celle è necessario solo se vengono utilizzate unità ausiliarie:</t>
  </si>
  <si>
    <t>#3b: Stoccaggio nel porto/aeroporto all'origine</t>
  </si>
  <si>
    <t>Questo punto per le supply chain globali riguarda solo lo stoccaggio prima del trasporto a lunga distanza.</t>
  </si>
  <si>
    <t>#3c: Trasporto con una sola consegna (da origine a destinazione)</t>
  </si>
  <si>
    <t>Questo punto per le supply chain globali riguarda solo il trasporto a lunga distanza in aereo o nave dal luogo di stoccaggio di origine al luogo di stoccaggio di destinazione.</t>
  </si>
  <si>
    <t>#3d: Stoccaggio nel porto/aeroporto a destinazione</t>
  </si>
  <si>
    <t>Questo punto per le supply chain globali riguarda solo lo stoccaggio dopo il trasporto a lunga distanza.</t>
  </si>
  <si>
    <t>#4: Trasporto con una sola consegna (al centro di distribuzione)</t>
  </si>
  <si>
    <t>Questo punto riguarda il trasporto dal fornitore o - in caso di supply chain globale - dall'ultimo porto/aeroporto al centro di distribuzione.</t>
  </si>
  <si>
    <t>#5: Centro di distribuzione</t>
  </si>
  <si>
    <t>Questo punto riguarda lo stoccaggio dei prodotti presso il centro di distribuzione.</t>
  </si>
  <si>
    <t>Conservazione</t>
  </si>
  <si>
    <t>Quantità media di prodotti immagazzinati all'anno</t>
  </si>
  <si>
    <t>#6: Trasporto con consegne multiple (dal centro di distribuzione al rivenditore)</t>
  </si>
  <si>
    <t>Questa fase copre la distribuzione dei prodotti dal magazzino ai singoli rivenditori.</t>
  </si>
  <si>
    <t>#7: Rivenditore</t>
  </si>
  <si>
    <t>Come fase finale della supply chain, il rivenditore è il luogo in cui i consumatori possono acquistare i prodotti.</t>
  </si>
  <si>
    <t>#2: Valutazione del ciclo di vita: Risultati</t>
  </si>
  <si>
    <t>In questa analisi, gli impatti ambientali sono presentati lungo tre delle più comuni categorie oggigiorno prese in considerazione. Questi risultati sono i potenziali impatti causati dalle attività descritte per unità funzionale</t>
  </si>
  <si>
    <t>Potenziali di riscaldamento globale (GWP)</t>
  </si>
  <si>
    <t>La determinazione del potenziale di riscaldamento globale (GWP) si basa sul "metodo 2013" sviluppato dall'Intergovernmental Panel on Climate Change (IPCC). Fornisce risultati su un arco di tempo di 100 anni ed esprime l'impatto in termini di kg equivalenti di anidride carbonica.</t>
  </si>
  <si>
    <t>GWP per fase: Valore per unità funzionale</t>
  </si>
  <si>
    <t>Si noti che l'impatto delle materie prime è attribuito al produttore.</t>
  </si>
  <si>
    <t>Impatto per kg di prodotto finale</t>
  </si>
  <si>
    <t>GWP cumulato</t>
  </si>
  <si>
    <t>GWP per tipo di processo: valori per unità funzionale</t>
  </si>
  <si>
    <t>Fabbisogno di energia cumulato (CED)</t>
  </si>
  <si>
    <t>Il fabbisogno di energia cumulato (CED) si basa sulla metodologia pubblicata dal sistema di dati ambientali "ecoinvent versione 2.0" ampliato da PRé Consultants per le materie prime disponibili nel database dei cicli di vita "SimaPro 7".</t>
  </si>
  <si>
    <t>CED per stadio: Valore per unità funzionale</t>
  </si>
  <si>
    <t>CED cumulato</t>
  </si>
  <si>
    <t>CED per tipo di processo: Valori per unità funzionale</t>
  </si>
  <si>
    <t>Uso dell'acqua (AWARE)</t>
  </si>
  <si>
    <r>
      <t xml:space="preserve">Il metodo AWARE (Availalble WAter Remaining) è raccomandato dal gruppo di lavoro internazionale sulla valutazione dell'uso dell'acqua e sull'impronta (WULCA) per le analisi LCA. Nel maggio 2016, il metodo è stato approvato anche dal Centro Comune di Ricerca dell'UE. AWARE rappresenta la AWARE relativa per area </t>
    </r>
    <r>
      <rPr>
        <sz val="11"/>
        <rFont val="Calibri (Corpo)"/>
      </rPr>
      <t>in un bacino</t>
    </r>
    <r>
      <rPr>
        <sz val="11"/>
        <rFont val="Calibri"/>
        <family val="2"/>
        <scheme val="minor"/>
      </rPr>
      <t xml:space="preserve"> dopo che la domanda de</t>
    </r>
    <r>
      <rPr>
        <sz val="11"/>
        <rFont val="Calibri (Corpo)"/>
      </rPr>
      <t>ll'uomo</t>
    </r>
    <r>
      <rPr>
        <sz val="11"/>
        <rFont val="Calibri"/>
        <family val="2"/>
        <scheme val="minor"/>
      </rPr>
      <t xml:space="preserve"> e degli ecosistemi acquatici è stata soddisfatta. Valuta il potenziale di mancanza dell'acqua, sia per gli esseri umani che per gli ecosistemi, partendo dal presupposto che minore è l'acqua rimanente disponibile per area, maggiore è la probabilità che un altro utente ne venga privato.</t>
    </r>
  </si>
  <si>
    <t>AWARE per fase: Valore per unità funzionale</t>
  </si>
  <si>
    <t>Acqua</t>
  </si>
  <si>
    <t>Acqua cumulata</t>
  </si>
  <si>
    <t>AWARE per tipo di processo: Valori per unità funzionale</t>
  </si>
  <si>
    <t>#2: Valutazione del ciclo di vita: What if?</t>
  </si>
  <si>
    <t>In questa scheda vengono forniti in forma aggregata i costi ambientali delle singole fasi. Per mostrare l'impatto delle potenziali misure di efficienza energetica su questi costi, è possibile modificare i valori di input relativi al consumo in questa scheda e vedere gli effetti sui costi complessivi sulla catena del freddo. Il costo del ciclo di vita ambientale (E-LCC) fornisce il costo relativo ai flussi di materiali come energia, combustibili e emissioni di anidride carbonica, ma non include i costi di capitale o di manodopera.</t>
  </si>
  <si>
    <t>Costi ambientali per fase</t>
  </si>
  <si>
    <t>La tabella seguente mostra i costi del ciclo di vita ambientale (E-LCC) per fase, ovvero i costi ambientali per tonnellata di prodotto consegnato nelle condizione ex-ante, senza alcuna misura di efficienza energetica. Si prega di notare che si concentra solo sulle parti delle supply chain locali.</t>
  </si>
  <si>
    <t>LCC ambientale totale per tonnellata consegnata</t>
  </si>
  <si>
    <t>Flussi di materiale</t>
  </si>
  <si>
    <r>
      <t xml:space="preserve">Analisi di </t>
    </r>
    <r>
      <rPr>
        <sz val="11"/>
        <rFont val="Calibri (Corpo)"/>
      </rPr>
      <t>sensitività</t>
    </r>
  </si>
  <si>
    <t>Di seguito è possibile specificare i potenziali risparmi derivanti dall'implementazione di misure di efficienza energetica lungo la catena del freddo e la fase in cui si applicano queste modifiche. I risparmi dovrebbero essere indicati da valori negativi.</t>
  </si>
  <si>
    <t>Settore di variazione</t>
  </si>
  <si>
    <t>Variazione del consumo di elettricità</t>
  </si>
  <si>
    <t>Variazione in altre fonti di energia</t>
  </si>
  <si>
    <t>Variazione del consumo di acqua</t>
  </si>
  <si>
    <r>
      <t xml:space="preserve">Variazione nella </t>
    </r>
    <r>
      <rPr>
        <sz val="11"/>
        <rFont val="Calibri (Corpo)"/>
      </rPr>
      <t>carica</t>
    </r>
    <r>
      <rPr>
        <sz val="11"/>
        <rFont val="Calibri"/>
        <family val="2"/>
        <scheme val="minor"/>
      </rPr>
      <t xml:space="preserve"> del refrigerante</t>
    </r>
  </si>
  <si>
    <t>Misure</t>
  </si>
  <si>
    <t>Quale fase della catena influisce sull'EEM?</t>
  </si>
  <si>
    <t>Modifiche ai costi del ciclo di vita ambientale</t>
  </si>
  <si>
    <t>Modifica dei costi ambientali per l'intera filiera rispetto alla situazione senza misure</t>
  </si>
  <si>
    <r>
      <t xml:space="preserve">Calcolo </t>
    </r>
    <r>
      <rPr>
        <sz val="11"/>
        <rFont val="Calibri (Corpo)"/>
      </rPr>
      <t>di sensitività</t>
    </r>
  </si>
  <si>
    <t>Di seguito sono riportati i costi dettagliati lungo l'intero ciclo di vita ambientale con e senza misure.</t>
  </si>
  <si>
    <t>Costo relativo ai flussi di materiale</t>
  </si>
  <si>
    <t>Nessuna misura</t>
  </si>
  <si>
    <t>Trasporto al produttore</t>
  </si>
  <si>
    <t>Magazzino</t>
  </si>
  <si>
    <t>Trasporto 2</t>
  </si>
  <si>
    <t>Stoccaggio presso il centro di distribuzione</t>
  </si>
  <si>
    <t>Trasporto 3</t>
  </si>
  <si>
    <t>Magazzino del rivenditore</t>
  </si>
  <si>
    <t>Carburante per il trasporto</t>
  </si>
  <si>
    <t>Elettricità</t>
  </si>
  <si>
    <t>Combustibile per la refrigerazione</t>
  </si>
  <si>
    <t>Altra energia</t>
  </si>
  <si>
    <t>Misura attuata</t>
  </si>
  <si>
    <t>Costo relativo al GWP</t>
  </si>
  <si>
    <r>
      <rPr>
        <sz val="11"/>
        <rFont val="Calibri (Corpo)"/>
      </rPr>
      <t>Sensitività</t>
    </r>
    <r>
      <rPr>
        <sz val="11"/>
        <rFont val="Calibri"/>
        <family val="2"/>
        <scheme val="minor"/>
      </rPr>
      <t>: Impostazioni del prezzo</t>
    </r>
  </si>
  <si>
    <t>In questa sezione è possibile modificare le impostazioni dei prezzi per diversi flussi di materiale rilevanti per il calcolo E-LCC.</t>
  </si>
  <si>
    <t>Combustibili</t>
  </si>
  <si>
    <t>Teleriscaldamento o riscaldamento industriale</t>
  </si>
  <si>
    <t>Refrigeranti</t>
  </si>
  <si>
    <t>#2: Valutazione del ciclo di vita: Database</t>
  </si>
  <si>
    <t>Solo elenchi interni. Si prega di non modificare questo foglio se non si sa cosa si sta facendo. Questo foglio è protetto da copyright ed è soggetto a condizioni di licenza specifiche.</t>
  </si>
  <si>
    <t>Importante: non aggiungere o rimuovere colonne poiché nei fogli di calcolo vengono utilizzati riferimenti indiretti!</t>
  </si>
  <si>
    <t>Categoria</t>
  </si>
  <si>
    <t>Trasporto su strada: Lunga distanza</t>
  </si>
  <si>
    <t>Trasporto stradale: Refrigerato</t>
  </si>
  <si>
    <t>Prodotti finiti</t>
  </si>
  <si>
    <t>Prodotti semilavorati</t>
  </si>
  <si>
    <t>Smaltimento dei rifiuti</t>
  </si>
  <si>
    <t>Altri vettori energetici</t>
  </si>
  <si>
    <t>Combustibili per i trasporti refrigerati</t>
  </si>
  <si>
    <t>Trasporto globale</t>
  </si>
  <si>
    <t>Prodotto/processo</t>
  </si>
  <si>
    <t>Camion</t>
  </si>
  <si>
    <t>Camion refrigerato con R134a</t>
  </si>
  <si>
    <t>Latte trasformato</t>
  </si>
  <si>
    <t>Formaggio</t>
  </si>
  <si>
    <t>Pollo</t>
  </si>
  <si>
    <t>Carne di maiale</t>
  </si>
  <si>
    <t>Manzo</t>
  </si>
  <si>
    <t>Uova</t>
  </si>
  <si>
    <r>
      <t>Pesce fresco (</t>
    </r>
    <r>
      <rPr>
        <sz val="11"/>
        <rFont val="Calibri (Corpo)"/>
      </rPr>
      <t>congelato</t>
    </r>
    <r>
      <rPr>
        <sz val="11"/>
        <rFont val="Calibri"/>
        <family val="2"/>
        <scheme val="minor"/>
      </rPr>
      <t>)</t>
    </r>
  </si>
  <si>
    <t>Pesce surgelato</t>
  </si>
  <si>
    <t>Mela</t>
  </si>
  <si>
    <t>Arancia Fresca</t>
  </si>
  <si>
    <t>Pesca</t>
  </si>
  <si>
    <t>Fragola</t>
  </si>
  <si>
    <t>Pomodoro Fresco</t>
  </si>
  <si>
    <t>Carota</t>
  </si>
  <si>
    <t>Cipolla</t>
  </si>
  <si>
    <t>Patata</t>
  </si>
  <si>
    <t>Lattuga</t>
  </si>
  <si>
    <t>Imballaggio di vetro</t>
  </si>
  <si>
    <t>Scatola di cartone ondulato</t>
  </si>
  <si>
    <t>Bottiglie in HDPE</t>
  </si>
  <si>
    <t>Cartone da discarica</t>
  </si>
  <si>
    <t>Cartone da riciclo</t>
  </si>
  <si>
    <t>Vetro da discarica</t>
  </si>
  <si>
    <t>Vetro da riciclo</t>
  </si>
  <si>
    <t>Polietilene da discarica</t>
  </si>
  <si>
    <t>Polietilene da riciclo</t>
  </si>
  <si>
    <t>Rifiuti biodegradabili per compostaggio industriale</t>
  </si>
  <si>
    <t>Rifiuti dei macelli per l'incenerimento</t>
  </si>
  <si>
    <r>
      <t xml:space="preserve">Trasformazione dei rifiuti dei macelli </t>
    </r>
    <r>
      <rPr>
        <sz val="11"/>
        <color theme="7" tint="0.39997558519241921"/>
        <rFont val="Calibri (Corpo)"/>
      </rPr>
      <t>in sego e farina di carne e ossa</t>
    </r>
  </si>
  <si>
    <t>Rifiuti biodegradabili per digestione anaerobica</t>
  </si>
  <si>
    <t>Acque reflue destinate a un impianto di trattamento intermedio delle acque reflue</t>
  </si>
  <si>
    <t>Acqua di rubinetto</t>
  </si>
  <si>
    <t>Mix elettrico Europeo</t>
  </si>
  <si>
    <t>Gas naturale</t>
  </si>
  <si>
    <t>Bioetanolo da fermentazione</t>
  </si>
  <si>
    <t>Bio metano 96%</t>
  </si>
  <si>
    <t>Calore da un impianto di piccola taglia</t>
  </si>
  <si>
    <t>Aerei da trasporto refrigerati</t>
  </si>
  <si>
    <t>Treno merci refrigerato</t>
  </si>
  <si>
    <t>Nave da carico transoceanica refrigerata</t>
  </si>
  <si>
    <t>Potere calorifico inferiore</t>
  </si>
  <si>
    <t>Prezzi</t>
  </si>
  <si>
    <t>#2: Valutazione del ciclo di vita: Elenchi</t>
  </si>
  <si>
    <t>Solo elenchi interni. Si prega di non modificare questo foglio a meno che non si sappia cosa si sta facendo.</t>
  </si>
  <si>
    <t>Elenco</t>
  </si>
  <si>
    <t>Iscrizione</t>
  </si>
  <si>
    <t>Lingue</t>
  </si>
  <si>
    <t>Si No</t>
  </si>
  <si>
    <t>Catena</t>
  </si>
  <si>
    <t>Prodotti</t>
  </si>
  <si>
    <t>Sì</t>
  </si>
  <si>
    <t>Perdita (% all'anno)</t>
  </si>
  <si>
    <t>Catena del freddo</t>
  </si>
  <si>
    <t>Globale</t>
  </si>
  <si>
    <t>Locale</t>
  </si>
  <si>
    <t>Latticini</t>
  </si>
  <si>
    <t>Pesce</t>
  </si>
  <si>
    <t>Pasti pronti</t>
  </si>
  <si>
    <t>Frutta e verdura</t>
  </si>
  <si>
    <t>Carne</t>
  </si>
  <si>
    <t>Prodotti individuali</t>
  </si>
  <si>
    <t>Categoria di temperatura</t>
  </si>
  <si>
    <t>Crema</t>
  </si>
  <si>
    <t>Latte lavorato</t>
  </si>
  <si>
    <t>Prodotti ittici surgelati</t>
  </si>
  <si>
    <t>Piatti precotti e piatti pronti</t>
  </si>
  <si>
    <t>Fresco</t>
  </si>
  <si>
    <t>Surgelato</t>
  </si>
  <si>
    <r>
      <t xml:space="preserve">Pollame, coniglio o </t>
    </r>
    <r>
      <rPr>
        <sz val="11"/>
        <rFont val="Calibri (Corpo)"/>
      </rPr>
      <t>manzo</t>
    </r>
  </si>
  <si>
    <t>Uova, frattaglie, coniglio o pollame surgelati</t>
  </si>
  <si>
    <t>Carne surgelata</t>
  </si>
  <si>
    <t>Nessun prodotto</t>
  </si>
  <si>
    <t>Temperatura di conservazione [°C]</t>
  </si>
  <si>
    <t>Temperatura di trasporto [°C]</t>
  </si>
  <si>
    <t>Consumo di carburante: Tabella di selezione</t>
  </si>
  <si>
    <t>Trasporti stradali</t>
  </si>
  <si>
    <t>Per trasporto refrigerato</t>
  </si>
  <si>
    <t xml:space="preserve">Camion </t>
  </si>
  <si>
    <r>
      <t>Tipo</t>
    </r>
    <r>
      <rPr>
        <sz val="11"/>
        <rFont val="Calibri (Corpo)"/>
      </rPr>
      <t>logia</t>
    </r>
  </si>
  <si>
    <t>Pesante</t>
  </si>
  <si>
    <t>Densità</t>
  </si>
  <si>
    <r>
      <t xml:space="preserve">Consumo di carburante: Tabella di </t>
    </r>
    <r>
      <rPr>
        <sz val="11"/>
        <rFont val="Calibri (Corpo)"/>
      </rPr>
      <t>riferimento</t>
    </r>
  </si>
  <si>
    <t>Luce</t>
  </si>
  <si>
    <t>Medio</t>
  </si>
  <si>
    <t>Temperatura</t>
  </si>
  <si>
    <t>Consumo di carburante</t>
  </si>
  <si>
    <r>
      <t xml:space="preserve">Consumo di carburante: </t>
    </r>
    <r>
      <rPr>
        <sz val="11"/>
        <color theme="1"/>
        <rFont val="Calibri (Corpo)"/>
      </rPr>
      <t>Tabella inter-/estrapolata</t>
    </r>
  </si>
  <si>
    <t>Gruppo di prodotti:</t>
  </si>
  <si>
    <t>Categoria di temperatura:</t>
  </si>
  <si>
    <t>#1: Tabella di selezione del gruppo di prodotti</t>
  </si>
  <si>
    <t>#2: Tabella di selezione del prodotto</t>
  </si>
  <si>
    <t>Non incluso:</t>
  </si>
  <si>
    <t>#3: Selezione corrente</t>
  </si>
  <si>
    <t>Categorie disponibili</t>
  </si>
  <si>
    <t>Categoria attualmente selezionata</t>
  </si>
  <si>
    <t>Gruppi di prodotti attualmente disponibili</t>
  </si>
  <si>
    <t>Gruppo di prodotti attualmente selezionato</t>
  </si>
  <si>
    <t>Prodotti attualmente disponibili</t>
  </si>
  <si>
    <t>[Selezione]</t>
  </si>
  <si>
    <t>[Testo]</t>
  </si>
  <si>
    <t>[°C]</t>
  </si>
  <si>
    <t>[%/un]</t>
  </si>
  <si>
    <t>[kg CO2 eq/unità]</t>
  </si>
  <si>
    <t>[MJ/unità]</t>
  </si>
  <si>
    <t>[m³ eq/unità]</t>
  </si>
  <si>
    <t>[kWh/unità]</t>
  </si>
  <si>
    <r>
      <t>[</t>
    </r>
    <r>
      <rPr>
        <sz val="11"/>
        <color theme="1"/>
        <rFont val="Calibri (Corpo)"/>
      </rPr>
      <t>Unità di misura</t>
    </r>
    <r>
      <rPr>
        <sz val="11"/>
        <color theme="1"/>
        <rFont val="Calibri"/>
        <family val="2"/>
        <scheme val="minor"/>
      </rPr>
      <t>]</t>
    </r>
  </si>
  <si>
    <t>[Euro/tonnellata]</t>
  </si>
  <si>
    <r>
      <t>[m</t>
    </r>
    <r>
      <rPr>
        <vertAlign val="superscript"/>
        <sz val="11"/>
        <rFont val="Calibri (Corpo)"/>
      </rPr>
      <t>3</t>
    </r>
    <r>
      <rPr>
        <sz val="11"/>
        <rFont val="Calibri"/>
        <family val="2"/>
        <scheme val="minor"/>
      </rPr>
      <t xml:space="preserve"> eq.]</t>
    </r>
  </si>
  <si>
    <t>[Euro/unità]</t>
  </si>
  <si>
    <t>Dati generali: Trasporto</t>
  </si>
  <si>
    <t>Dati generali: Stoccaggio</t>
  </si>
  <si>
    <t>#1: LCA: Elaborazione</t>
  </si>
  <si>
    <t>#2: LCA: Imballaggio</t>
  </si>
  <si>
    <t>#3: LCA: Trasporto</t>
  </si>
  <si>
    <r>
      <t>#4: LCA: U</t>
    </r>
    <r>
      <rPr>
        <sz val="11"/>
        <rFont val="Calibri (Corpo)"/>
      </rPr>
      <t>tilizzo</t>
    </r>
    <r>
      <rPr>
        <sz val="11"/>
        <rFont val="Calibri"/>
        <family val="2"/>
        <scheme val="minor"/>
      </rPr>
      <t xml:space="preserve"> dell'acqua</t>
    </r>
  </si>
  <si>
    <t>#5: LCA: Consumo di energia</t>
  </si>
  <si>
    <t>#6: LCA: Refrigerazione per il trasporto (elettricità e carburante solo per la refrigerazione)</t>
  </si>
  <si>
    <t>#7: LCA: Perdita di refrigerante</t>
  </si>
  <si>
    <t>#8: LCA: Rifiuti</t>
  </si>
  <si>
    <t>Risultati LCA: Impatto assoluto</t>
  </si>
  <si>
    <t>Risultati LCA: Impatto specifico</t>
  </si>
  <si>
    <t>Prezzo</t>
  </si>
  <si>
    <r>
      <t>Tipo</t>
    </r>
    <r>
      <rPr>
        <sz val="11"/>
        <rFont val="Calibri (Corpo)"/>
      </rPr>
      <t>logia</t>
    </r>
    <r>
      <rPr>
        <sz val="11"/>
        <rFont val="Calibri"/>
        <family val="2"/>
        <scheme val="minor"/>
      </rPr>
      <t xml:space="preserve"> di carburante per la refrigerazione</t>
    </r>
  </si>
  <si>
    <t>Perdita</t>
  </si>
  <si>
    <t>Temperatura di conservazione</t>
  </si>
  <si>
    <t>Uso del magazzino</t>
  </si>
  <si>
    <t>Prodotti lavorati da trasportare</t>
  </si>
  <si>
    <t>Tipo di rifiuto</t>
  </si>
  <si>
    <t>Altra fonte di energia</t>
  </si>
  <si>
    <t>Utilizzo del refrigerante all'anno</t>
  </si>
  <si>
    <t>Quantità da conservare</t>
  </si>
  <si>
    <t>Totale</t>
  </si>
  <si>
    <t>#2: Análisis del ciclo de vida: Información</t>
  </si>
  <si>
    <t xml:space="preserve">Esta herramienta se ocupa del análisis del ciclo de vida de las cadenas de suministro de frío. Permite a los usuarios realizar un análisis del rendimiento medioambiental de cadenas de suministro de frío completas. </t>
  </si>
  <si>
    <t>Idioma:</t>
  </si>
  <si>
    <t>Nota importante: Por favor, elija su idioma antes de añadir cualquier dato a la herramienta vacía y no cambie el idioma después. De lo contrario, pueden producirse problemas debido a que los campos desplegables no se actualizan automáticamente a la nueva configuración del idioma.</t>
  </si>
  <si>
    <t xml:space="preserve">Versión: </t>
  </si>
  <si>
    <t xml:space="preserve">Objetivo: </t>
  </si>
  <si>
    <t xml:space="preserve">Esta herramienta tiene como objetivo ayudar a los actores de la cadena de suministro de frío a identificar el impacto medioambiental de sus cadenas. Para ello, se modela el impacto medioambiental de un conjunto de productos para tres de las categorías de impacto más comunes, es decir, los potenciales de calentamiento global, la demanda energética acumulada y el consumo de agua. </t>
  </si>
  <si>
    <t>El modelo se basa en los siguientes datos y métodos: La determinación del potencial de calentamiento global (GWP) se basa en el "método 2013" desarrollado por el Grupo Intergubernamental de Expertos sobre el Cambio Climático (IPCC). Ofrece resultados para un plazo de 100 años y expresa el impacto en términos de kg de equivalentes de dióxido de carbono.</t>
  </si>
  <si>
    <t>La determinación de la demanda energética acumulada (CED) se basa en el método publicado por el sistema de datos medioambientales "ecoinvent versión 2.0" ampliado para las materias primas disponibles en la base de datos de ciclos de vida "SimaPro 7".</t>
  </si>
  <si>
    <t xml:space="preserve">Para determinar el uso del agua, se utiliza el método AWARE (Availalble WAter Remaining) según la recomendación del grupo de trabajo internacional sobre la evaluación del uso del agua y la huella (WULCA).  Este método evalúa el potencial de privación de agua, tanto para los seres humanos como para los ecosistemas, partiendo de la base de que cuanta menos agua quede disponible por área, más probable será que otro usuario se vea privado. </t>
  </si>
  <si>
    <t>Grupo objetivo:</t>
  </si>
  <si>
    <t>Gestores de la cadena de suministro y gestores medioambientales</t>
  </si>
  <si>
    <t>Código de colores:</t>
  </si>
  <si>
    <t>El campo requiere la introducción de datos por parte del usuario.</t>
  </si>
  <si>
    <t>Información transferida desde otra parte del libro de trabajo.</t>
  </si>
  <si>
    <t>Información calculada en base a otros valores.</t>
  </si>
  <si>
    <t xml:space="preserve">Derechos de autor: </t>
  </si>
  <si>
    <t>(c) Proyecto ICCEE, 2021 (www.iccee.eu)</t>
  </si>
  <si>
    <t>Todos los derechos reservados; ninguna parte de este documento puede ser traducida, reproducida, almacenada en un sistema de recuperación o transmitida en cualquier forma o por cualquier medio, ya sea electrónico, mecánico, de fotocopia, de grabación o de otro tipo, sin el permiso por escrito del editor. Muchas de las denominaciones utilizadas por los fabricantes y vendedores para distinguir sus productos se reclaman como marcas comerciales. La cita de dichas denominaciones, sea cual sea su forma, no implica la conclusión de que el uso de las mismas sea legal sin el contenido del propietario de la marca. La responsabilidad del documento recae exclusivamente en el proyecto. El documento no refleja necesariamente la opinión de la Unión Europea. La EASME, la Comisión Europea y los socios del proyecto no son responsables del uso que pueda hacerse de la información contenida en él. La versión en inglés es la autorizada. Las versiones en otros idiomas son sólo a título informativo.</t>
  </si>
  <si>
    <t>#2: Análisis del ciclo de vida: Versiones</t>
  </si>
  <si>
    <t>Historial de versiones</t>
  </si>
  <si>
    <t>Fecha</t>
  </si>
  <si>
    <t>Versión</t>
  </si>
  <si>
    <t>Cambio</t>
  </si>
  <si>
    <t>Cambiado por</t>
  </si>
  <si>
    <t>#2: Análisis del ciclo de vida: Entrada</t>
  </si>
  <si>
    <t xml:space="preserve">A continuación puede especificar su cadena de suministro de frío incluyendo los productos considerados, los medios de transporte y almacenamiento en la cadena de frío y la aparición de residuos. Por favor, repase las diferentes partes de esta hoja que sigue el ciclo de vida del producto desde el proveedor de materias primas hasta el minorista. Una vez completada, pase a la hoja de resultados para comprobar los resultados del ciclo de vida por etapa en la cadena de suministro y para toda la cadena de suministro. </t>
  </si>
  <si>
    <t>Elija primero si desea analizar una cadena de suministro regional o global. La cadena de suministro global incluye pasos adicionales en la cadena para el transporte a larga distancia (véase la ilustración anterior).</t>
  </si>
  <si>
    <t>Seleccione el tipo de cadena de frío</t>
  </si>
  <si>
    <t>Producto indiviudalizado (opcional)</t>
  </si>
  <si>
    <t xml:space="preserve">En el análisis, puede analizar hasta dos productos. La base de datos subyacente ofrece una serie de productos predefinidos junto con los datos por defecto de la base de datos de Ecoinvent. Además de utilizar estos datos por defecto, también puede analizar un producto individual. Si desea hacerlo, rellene esta sección o, de lo contrario, pase a la siguiente. La entrada aquí aparecerá automáticamente en la selección de productos en el siguiente paso. </t>
  </si>
  <si>
    <t>Nombre del producto</t>
  </si>
  <si>
    <t>Especifique los valores de las categorías de impacto por kg de producto suministrado al minorista para el producto personalizado (incluido el transporte y la distribución de la materia prima)</t>
  </si>
  <si>
    <t xml:space="preserve">Potencial de calentamiento global </t>
  </si>
  <si>
    <t>Demanda de energía acumulada</t>
  </si>
  <si>
    <t>Demanda de agua</t>
  </si>
  <si>
    <t>Especifique los valores de transporte y almacenamiento de su producto personalizado</t>
  </si>
  <si>
    <t>Temperatura de transporte (-20 a +20 ⁰C)</t>
  </si>
  <si>
    <t>Temperatura de almacenamiento (-20 a +20 ⁰C)</t>
  </si>
  <si>
    <t>#1: Definición de la materia prima</t>
  </si>
  <si>
    <t>Aquí puede elegir productos de los predeterminados o de su indiviudalización anterior. Los niveles de temperatura para el transporte y el almacenamiento  y todos los impactos relacionados con la provisión de materia prima y el transporte al procesador posterior (siguiente paso) se contabilizarán automáticamente.</t>
  </si>
  <si>
    <t>Categoría de producto</t>
  </si>
  <si>
    <t>Subcategoría de producto</t>
  </si>
  <si>
    <t>Producto</t>
  </si>
  <si>
    <t>Cantidad por lote (excluido el embalaje)</t>
  </si>
  <si>
    <t>#2: Transporte único (del proveedor al productor)</t>
  </si>
  <si>
    <t>Este paso se refiere al transporte desde el proveedor de materias primas hasta el productor/transformador.</t>
  </si>
  <si>
    <t>Uso de vehículos</t>
  </si>
  <si>
    <t>Especifique hasta cinco vehículos utilizados para el transporte en esta etapa de la cadena de suministro. Por favor, elija primero si la refrigeración en estos vehículos es proporcionada por los motores principales de los vehículos o por unidades auxiliares.</t>
  </si>
  <si>
    <t>¿Se proporciona refrigeración mediante unidades de potencia auxiliar en los vehículos de transporte?</t>
  </si>
  <si>
    <t>Vehículo</t>
  </si>
  <si>
    <t>Tipo de vehículo</t>
  </si>
  <si>
    <t>Distancia</t>
  </si>
  <si>
    <t>Tiempo de viaje</t>
  </si>
  <si>
    <t>Cantidad de materia prima transportada</t>
  </si>
  <si>
    <t>Refrigeración</t>
  </si>
  <si>
    <t>Esta sección sólo es necesaria si se utilizan unidades auxiliares en los vehículos de transporte. En caso contrario, puede omitirse. La potencia eléctrica se refiere a la demanda de unidades independientes para refrigeración y ventilación. La precarga anual de refrigeración se refiere a la cantidad total de refrigerante precargado por vehículo al principio de un año de funcionamiento, es decir, corresponde a las pérdidas de refrigerante por año</t>
  </si>
  <si>
    <t xml:space="preserve">Refrigerante </t>
  </si>
  <si>
    <t>Precarga anual de refrigerante inicial</t>
  </si>
  <si>
    <t>Consumo eléctrico de las unidades auxiliares</t>
  </si>
  <si>
    <t>Consumo de agua por año</t>
  </si>
  <si>
    <t>#3: Productor</t>
  </si>
  <si>
    <t xml:space="preserve">Las actividades del productor se refieren a la transformación de las materias primas (productos alimentarios, incluidos los envases y otros) en un producto alimentario acabado, listo para ser transportado a través de una cadena de suministro para su consumo. </t>
  </si>
  <si>
    <t>Envasado y producción</t>
  </si>
  <si>
    <t xml:space="preserve">Especifique los materiales necesarios para el envasado de la cantidad total de productos especificados anteriormente. </t>
  </si>
  <si>
    <t>Materiales de envasado</t>
  </si>
  <si>
    <t>Cantidad</t>
  </si>
  <si>
    <t>Por lote Producto alimenticio a transportar</t>
  </si>
  <si>
    <t>Por lote: Embalaje a transportar como carga útil</t>
  </si>
  <si>
    <t>Por lote: Suma a transportar como carga útil</t>
  </si>
  <si>
    <t>Total: Producción anual (producto alimentario incluido el envase)</t>
  </si>
  <si>
    <t>Almacenamiento tras la transformación</t>
  </si>
  <si>
    <t>Tiempo de almacenamiento de un lote en el almacén</t>
  </si>
  <si>
    <t>Volumen del almacén ocupado por un lote</t>
  </si>
  <si>
    <t>Tamaño total del almacén</t>
  </si>
  <si>
    <t>Electricidad de la red</t>
  </si>
  <si>
    <t>Consumo por año</t>
  </si>
  <si>
    <t>Tipo de refrigerante</t>
  </si>
  <si>
    <t>Precarga anual inicial</t>
  </si>
  <si>
    <t>Residuos</t>
  </si>
  <si>
    <t>Por favor, seleccione el tipo y la cantidad de residuos y aguas residuales y su eliminación, así como el medio de transporte para la eliminación de los residuos.</t>
  </si>
  <si>
    <t>Tipo de residuos y eliminación</t>
  </si>
  <si>
    <t>Cantidad de residuos por año</t>
  </si>
  <si>
    <t>Unidad</t>
  </si>
  <si>
    <t>Distancia de transporte en camión</t>
  </si>
  <si>
    <t>#3a: Transporte único (del productor al muelle/aeropuerto)</t>
  </si>
  <si>
    <t>(sólo para cadenas de suministro globales)</t>
  </si>
  <si>
    <t xml:space="preserve">Este paso para las cadenas de suministro globales sólo aborda el transporte antes del transporte de larga distancia. </t>
  </si>
  <si>
    <t xml:space="preserve">Estas casillas sólo son necesarias si se utilizan unidades de potencia auxiliar: </t>
  </si>
  <si>
    <t>#3b: Almacenamiento en los muelles/aeropuertos de origen</t>
  </si>
  <si>
    <t xml:space="preserve">Este paso para las cadenas de suministro globales sólo aborda el almacenamiento antes del transporte de larga distancia. </t>
  </si>
  <si>
    <t>#3c: Transporte único (origen a destino)</t>
  </si>
  <si>
    <t xml:space="preserve">Este paso para las cadenas de suministro globales sólo aborda el transporte de larga distancia por avión o barco desde el lugar de almacenamiento en el origen hasta el lugar de almacenamiento en el destino. </t>
  </si>
  <si>
    <t>#3d: Almacenamiento en muelles/aeropuerto en destino</t>
  </si>
  <si>
    <t xml:space="preserve">Este paso para las cadenas de suministro globales sólo se refiere al almacenamiento después del transporte de larga distancia. </t>
  </si>
  <si>
    <t>#4: Transporte único (al centro de distribución)</t>
  </si>
  <si>
    <t>Este paso aborda el transporte desde el proveedor o - en el caso de la cadena de suministro global - desde el último muelle/aeropuerto hasta el centro de distribución.</t>
  </si>
  <si>
    <t>#5: Centro de distribución</t>
  </si>
  <si>
    <t xml:space="preserve">Este paso se refiere al almacenamiento de los productos en el centro de distribución. </t>
  </si>
  <si>
    <t>Almacenamiento</t>
  </si>
  <si>
    <t>Cantidad media de productos almacenados por año</t>
  </si>
  <si>
    <t>#6: Transporte múltiple (del centro de distribución al minorista)</t>
  </si>
  <si>
    <t>Este paso cubre la distribución de los productos desde el almacén hasta los minoristas individuales.</t>
  </si>
  <si>
    <t>#7: Minorista</t>
  </si>
  <si>
    <t>Como paso final de la cadena de suministro, el minorista es el lugar donde los consumidores pueden comprar los alimentos y llevárselos a casa.</t>
  </si>
  <si>
    <t>#2: Análisis del ciclo de vida: Resultados</t>
  </si>
  <si>
    <t>En este análisis, se presentan los impactos ambientales a lo largo de tres de las categorías de impacto más comunes hoy en día. Estos resultados son impactos potenciales causados por las actividades modeladas por unidad funcional</t>
  </si>
  <si>
    <t>Potencial de calentamiento global (PCG)</t>
  </si>
  <si>
    <t>La determinación del potencial de calentamiento global (GWP) se basa en el "método 2013" desarrollado por el Grupo Intergubernamental de Expertos sobre el Cambio Climático (IPCC). Ofrece resultados para un plazo de 100 años y expresa el impacto en términos de kg de equivalentes de dióxido de carbono.</t>
  </si>
  <si>
    <t>GWP por etapa: Valor por unidad funcional</t>
  </si>
  <si>
    <t>Tenga en cuenta que el impacto de las materias primas se atribuye al productor.</t>
  </si>
  <si>
    <t>Impacto por kg de producto final</t>
  </si>
  <si>
    <t>GWP acumulado</t>
  </si>
  <si>
    <t>GWP por tipo de proceso: Valores por unidad funcional</t>
  </si>
  <si>
    <t>Demanda energética acumulada (CED)</t>
  </si>
  <si>
    <t>La demanda energética acumulada (CED) se basa en el método publicado por el sistema de datos medioambientales "ecoinvent versión 2.0" ampliado por PRé Consultores para las materias primas disponibles en la base de datos de ciclos de vida "SimaPro 7".</t>
  </si>
  <si>
    <t>CED por etapa: Valor por unidad funcional</t>
  </si>
  <si>
    <t>CED acumulado</t>
  </si>
  <si>
    <t>CED por tipo de proceso: Valores por unidad funcional</t>
  </si>
  <si>
    <t>Uso del agua (AWARE)</t>
  </si>
  <si>
    <t xml:space="preserve">El método AWARE (Availalble WAter Remaining) está recomendado por el grupo de trabajo internacional sobre la evaluación del uso del agua y la huella (WULCA) para los análisis de ACV. En mayo de 2016, el método también fue respaldado por el Centro Común de Investigación de la UE. AWARE representa la AWARE relativa por área en una cuenca hidrográfica una vez satisfecha la demanda de los seres humanos y los ecosistemas acuáticos. Análisis que evalúa el potencial de privación de agua, tanto para los seres humanos como para los ecosistemas, partiendo de la base de que cuanto menos agua quede disponible por área, más probable será que otro usuario se vea privado. </t>
  </si>
  <si>
    <t>AWARE por etapa: Valor por unidad funcional</t>
  </si>
  <si>
    <t>Agua</t>
  </si>
  <si>
    <t>Agua acumulada</t>
  </si>
  <si>
    <t>AWARE por tipo de proceso: Valores por unidad funcional</t>
  </si>
  <si>
    <t>#2: Análisis del ciclo de vida: ¿Y si...?</t>
  </si>
  <si>
    <t>En esta hoja, los costes medioambientales de las etapas se proporcionan de forma agregada. Para mostrar el impacto de posibles medidas de eficiencia energética en estos costes, puede cambiar los valores de entrada relativos al consumo en esta hoja y ver los efectos en los costes globales de la cadena de suministro de frío. El Coste Ambiental del Ciclo de Vida (E-LCC) proporciona el coste relacionado con los flujos de materiales como la energía, los combustibles y las emisiones de dióxido de carbono, pero no incluye los costes de capital o de mano de obra.</t>
  </si>
  <si>
    <t>Costes medioambientales por etapa</t>
  </si>
  <si>
    <t xml:space="preserve">La siguiente tabla muestra los costes ambientales del ciclo de vida (E-LCC) por etapa, es decir, los costes ambientales por tonelada de producto entregado en el status quo sin ninguna medida de eficiencia energética. Tenga en cuenta que se centra en las partes de las cadenas de suministro locales únicamente. </t>
  </si>
  <si>
    <t xml:space="preserve">Coste medioambiental total por tonelada entregada </t>
  </si>
  <si>
    <t>Flujos de materiales</t>
  </si>
  <si>
    <t>Análisis de sensibilidad</t>
  </si>
  <si>
    <t>A continuación, puede especificar el ahorro potencial derivado de la aplicación de medidas de eficiencia energética a lo largo de la cadena de suministro de frío y la etapa en la que se aplican estos cambios. Los ahorros deben indicarse con valores negativos.</t>
  </si>
  <si>
    <t>Ámbito de cambio</t>
  </si>
  <si>
    <t>Cambio en el consumo de electricidad</t>
  </si>
  <si>
    <t>Cambio en otras fuentes de energía</t>
  </si>
  <si>
    <t>Cambio en el consumo de agua</t>
  </si>
  <si>
    <t>Cambio en la precarga de refrigerante</t>
  </si>
  <si>
    <t>¿A qué paso de la cadena afecta la MAE?</t>
  </si>
  <si>
    <t>Cambios en los costes medioambientales del ciclo de vida</t>
  </si>
  <si>
    <t>Cambio en los costes medioambientales de toda la cadena en comparación con la situación sin medida</t>
  </si>
  <si>
    <t>Cálculo de la sensibilidad</t>
  </si>
  <si>
    <t>A continuación se detallan los costes del ciclo de vida medioambiental con y sin medida a título informativo.</t>
  </si>
  <si>
    <t>Coste relacionado con los flujos de materiales</t>
  </si>
  <si>
    <t>Sin medida</t>
  </si>
  <si>
    <t>Transporte al procesador</t>
  </si>
  <si>
    <t>Almacén</t>
  </si>
  <si>
    <t>Transporte 2</t>
  </si>
  <si>
    <t>Almacenamiento en el centro de distribución</t>
  </si>
  <si>
    <t>Transporte 3</t>
  </si>
  <si>
    <t>Trastienda del minorista</t>
  </si>
  <si>
    <t>Combustible para el transporte</t>
  </si>
  <si>
    <t>Electricidad</t>
  </si>
  <si>
    <t>Combustible para la refrigeración</t>
  </si>
  <si>
    <t>Otra energía</t>
  </si>
  <si>
    <t>Medida aplicada</t>
  </si>
  <si>
    <t>Coste relacionado con el GWP</t>
  </si>
  <si>
    <t>Sensibilidad: Ajustes del precio</t>
  </si>
  <si>
    <t>En esta sección, puede modificar los ajustes de precios para diferentes flujos de materiales relevantes para el cálculo del E-LCC.</t>
  </si>
  <si>
    <t>Combustibles</t>
  </si>
  <si>
    <t>Calefacción urbana o industrial</t>
  </si>
  <si>
    <t>Refrigerantes</t>
  </si>
  <si>
    <t>#2: Análisis del ciclo de vida: Base de datos</t>
  </si>
  <si>
    <t>Sólo listas internas. Por favor, no modifique esta hoja a menos que sepa lo que está haciendo. Esta hoja tiene derechos de autor y está sujeta a las condiciones específicas de la licencia.</t>
  </si>
  <si>
    <t>Importante: No añada ni elimine columnas, ya que se utilizan referencias indirectas en las hojas de cálculo.</t>
  </si>
  <si>
    <t>Categoría</t>
  </si>
  <si>
    <t>Transporte por carretera: Larga distancia</t>
  </si>
  <si>
    <t>Transporte por carretera: Refrigerado</t>
  </si>
  <si>
    <t>Productos acabados</t>
  </si>
  <si>
    <t>Productos semielaborados</t>
  </si>
  <si>
    <t>Materiales de embalaje</t>
  </si>
  <si>
    <t>Eliminación de residuos</t>
  </si>
  <si>
    <t>Electricidad procedente de la mezcla de países</t>
  </si>
  <si>
    <t>Otros vectores energéticos</t>
  </si>
  <si>
    <t>Combustibles para la refrigeración del transporte</t>
  </si>
  <si>
    <t xml:space="preserve">Transporte global </t>
  </si>
  <si>
    <t>Producto/proceso</t>
  </si>
  <si>
    <t>Camiones</t>
  </si>
  <si>
    <t>Camión frigorífico R134a</t>
  </si>
  <si>
    <t>Leche procesada</t>
  </si>
  <si>
    <t>Queso</t>
  </si>
  <si>
    <t>Cerdo</t>
  </si>
  <si>
    <t>Carne de vacuno</t>
  </si>
  <si>
    <t>Huevos</t>
  </si>
  <si>
    <t>Pescado fresco (en hielo)</t>
  </si>
  <si>
    <t>Pescado congelado</t>
  </si>
  <si>
    <t>Yogur</t>
  </si>
  <si>
    <t>Manzana</t>
  </si>
  <si>
    <t>Aguacate</t>
  </si>
  <si>
    <t>Plátano</t>
  </si>
  <si>
    <t>Naranja fresca</t>
  </si>
  <si>
    <t>Melocotón</t>
  </si>
  <si>
    <t>Fresa</t>
  </si>
  <si>
    <t>Tomate fresco</t>
  </si>
  <si>
    <t>Zanahoria</t>
  </si>
  <si>
    <t>Cebolla</t>
  </si>
  <si>
    <t>Lechuga</t>
  </si>
  <si>
    <t>Embalaje de vidrio</t>
  </si>
  <si>
    <t>Caja de cartón ondulado</t>
  </si>
  <si>
    <t>Botellas de HDPE</t>
  </si>
  <si>
    <t>Cartón al vertedero</t>
  </si>
  <si>
    <t>Cartón a reciclaje</t>
  </si>
  <si>
    <t>Vidrio a vertedero</t>
  </si>
  <si>
    <t>Vidrio a reciclaje</t>
  </si>
  <si>
    <t>Polietileno a vertedero</t>
  </si>
  <si>
    <t>Polietileno al reciclaje</t>
  </si>
  <si>
    <t>Residuos biodegradables al compostaje industrial</t>
  </si>
  <si>
    <t>Residuos de matadero a incineración municipal</t>
  </si>
  <si>
    <t>Residuos de matadero a sebo y harina de carne y huesos</t>
  </si>
  <si>
    <t>Residuos biodegradables a digestión anaeróbica</t>
  </si>
  <si>
    <t>Aguas residuales a planta de tratamiento de aguas residuales media</t>
  </si>
  <si>
    <t>Agua del grifo</t>
  </si>
  <si>
    <t>Combinación de electricidad Europa</t>
  </si>
  <si>
    <t>Gas natural</t>
  </si>
  <si>
    <t>Gasóleo</t>
  </si>
  <si>
    <t>Bioetanol de fermentación</t>
  </si>
  <si>
    <t>Biometano 96%</t>
  </si>
  <si>
    <t>Calor de planta a pequeña escala</t>
  </si>
  <si>
    <t>Aviones de carga con refrigerante - refrigeración</t>
  </si>
  <si>
    <t>Tren de carga con refrigerante - refrigeración</t>
  </si>
  <si>
    <t>Buque de carga transoceánico - refrigeración</t>
  </si>
  <si>
    <t xml:space="preserve">Menor valor calorífico </t>
  </si>
  <si>
    <t xml:space="preserve">Precios </t>
  </si>
  <si>
    <t>#2: Análisis del ciclo de vida: Listas</t>
  </si>
  <si>
    <t>Sólo listas internas. No modifique esta hoja a menos que sepa lo que está haciendo.</t>
  </si>
  <si>
    <t>Lista</t>
  </si>
  <si>
    <t>Entrada</t>
  </si>
  <si>
    <t>Idiomas</t>
  </si>
  <si>
    <t>Sí No</t>
  </si>
  <si>
    <t>Cadena</t>
  </si>
  <si>
    <t>Productos</t>
  </si>
  <si>
    <t>Sí</t>
  </si>
  <si>
    <t>Fuga (% por año)</t>
  </si>
  <si>
    <t>Cadena de frío</t>
  </si>
  <si>
    <t>Lácteos</t>
  </si>
  <si>
    <t>Pescado</t>
  </si>
  <si>
    <t>Platos preparados</t>
  </si>
  <si>
    <t>Frutas y verduras</t>
  </si>
  <si>
    <t>Productos individuales</t>
  </si>
  <si>
    <t>Categoría de temperatura</t>
  </si>
  <si>
    <t>Pescado superrefrigerado</t>
  </si>
  <si>
    <t>Productos de pescado congelados</t>
  </si>
  <si>
    <t>Platos cocinados y comidas preparadas</t>
  </si>
  <si>
    <t>Congelado</t>
  </si>
  <si>
    <t>Aves de corral, conejo o carnes de caza</t>
  </si>
  <si>
    <t>Huevos, despojos, conejo o aves de corral congelados</t>
  </si>
  <si>
    <t>Carne congelada</t>
  </si>
  <si>
    <t>Ningún producto</t>
  </si>
  <si>
    <t>Temperatura de almacenamiento [°C]</t>
  </si>
  <si>
    <t>Temperatura de transporte [°C]</t>
  </si>
  <si>
    <t>Consumo de combustible: Tabla de selección</t>
  </si>
  <si>
    <t>Transportes por carretera</t>
  </si>
  <si>
    <t>Para la refrigeración del transporte</t>
  </si>
  <si>
    <t>Camión de transporte</t>
  </si>
  <si>
    <t>Tipo</t>
  </si>
  <si>
    <t>pesado</t>
  </si>
  <si>
    <t>Densidad</t>
  </si>
  <si>
    <t>Consumo de combustible: Tabla base</t>
  </si>
  <si>
    <t>Ligero</t>
  </si>
  <si>
    <t>Pesado</t>
  </si>
  <si>
    <t>Consumo de combustible</t>
  </si>
  <si>
    <t>Consumo de combustible: Tabla inter/extrapolada</t>
  </si>
  <si>
    <t xml:space="preserve">Grupo de productos: </t>
  </si>
  <si>
    <t xml:space="preserve">Categoría de temperatura: </t>
  </si>
  <si>
    <t>#1: Tabla de selección de grupos de productos</t>
  </si>
  <si>
    <t>#2: Tabla de selección de productos</t>
  </si>
  <si>
    <t>No se incluye:</t>
  </si>
  <si>
    <t>#3: Selección actual</t>
  </si>
  <si>
    <t>Categorías disponibles</t>
  </si>
  <si>
    <t>Categoría seleccionada actualmente</t>
  </si>
  <si>
    <t>Grupos de productos disponibles actualmente</t>
  </si>
  <si>
    <t>Grupo de productos seleccionado actualmente</t>
  </si>
  <si>
    <t>Productos disponibles actualmente</t>
  </si>
  <si>
    <t>[Selección]</t>
  </si>
  <si>
    <t>[Texto]</t>
  </si>
  <si>
    <t>[kg CO2 eq/UF]</t>
  </si>
  <si>
    <t>[MJ/UF]</t>
  </si>
  <si>
    <t>[m³ eq./UF]</t>
  </si>
  <si>
    <t>[Euro/UF]</t>
  </si>
  <si>
    <t>Datos generales: Transporte</t>
  </si>
  <si>
    <t>Datos generales: Almacenamiento</t>
  </si>
  <si>
    <t>#1: ACV: Procesamiento</t>
  </si>
  <si>
    <t>#2: ACV: Embalaje</t>
  </si>
  <si>
    <t>#3: ACV: Transporte</t>
  </si>
  <si>
    <t>#4: ACV: Uso del agua</t>
  </si>
  <si>
    <t>#5: ACV: Uso de energía</t>
  </si>
  <si>
    <t>#6: ACV: Refrigeración en el transporte (electricidad y combustible sólo para la refrigeración)</t>
  </si>
  <si>
    <t>#7: ACV: Deslizamiento del refrigerante</t>
  </si>
  <si>
    <t>#8: ACV: Residuos</t>
  </si>
  <si>
    <t>Resultados del ACV: Impacto absoluto</t>
  </si>
  <si>
    <t>Resultados del ACV: Impacto específico</t>
  </si>
  <si>
    <t xml:space="preserve">Consumo de combustible </t>
  </si>
  <si>
    <t>Precio</t>
  </si>
  <si>
    <t>Tipo de combustible para refrigeración</t>
  </si>
  <si>
    <t>Fuga</t>
  </si>
  <si>
    <t>Temperatura de almacenamiento</t>
  </si>
  <si>
    <t>Uso del almacén</t>
  </si>
  <si>
    <t>Productos manufacturados a transportar</t>
  </si>
  <si>
    <t>Tipo de residuos</t>
  </si>
  <si>
    <t>Otra fuente de energía</t>
  </si>
  <si>
    <t>Uso de refrigerantes por año</t>
  </si>
  <si>
    <t>Cantidad a almacenar</t>
  </si>
  <si>
    <t>Βελτίωση ενεργειακής απόδοσης ψυχρής αλυσίδας (έργο ICCEE)</t>
  </si>
  <si>
    <t># 2: Αξιολόγηση κύκλου ζωής: Πληροφορίες</t>
  </si>
  <si>
    <t>Αυτό το εργαλείο ασχολείται με την ανάλυση κύκλου ζωής των αλυσίδων ψυχρής τροφοδοσίας. Επιτρέπει στους χρήστες να πραγματοποιήσουν μια ανάλυση της περιβαλλοντικής απόδοσης ολόκληρων των αλυσίδων ψυχρής τροφοδοσίας.</t>
  </si>
  <si>
    <t>Γλώσσα:</t>
  </si>
  <si>
    <t>Σημαντική σημείωση: Επιλέξτε τη γλώσσα σας προτού προσθέσετε δεδομένα στο κενό εργαλείο και μην αλλάξετε τη γλώσσα. Διαφορετικά, ενδέχεται να προκύψουν προβλήματα λόγω των αναπτυσσόμενων πεδίων που δεν ενημερώνονται αυτόματα ενημερώνονται στη νέα ρύθμιση γλώσσας.</t>
  </si>
  <si>
    <t>Έκδοση:</t>
  </si>
  <si>
    <t>Στόχος:</t>
  </si>
  <si>
    <t>Αυτά τα εργαλεία στοχεύουν να βοηθήσουν τους ανθρώπους που δραστηριοποιούνται κατά μήκος της αλυσίδας ψυχρού εφοδιασμού να εντοπίσουν τις περιβαλλοντικές επιπτώσεις των αλυσίδων τους. Για το σκοπό αυτό, οι περιβαλλοντικές επιπτώσεις για ένα σύνολο προϊόντων διαμορφώνονται για τρεις από τις πιο κοινές κατηγορίες επιπτώσεων, δηλ. Δυναμικά θέρμανσης του πλανήτη, σωρευτική ζήτηση ενέργειας και κατανάλωση νερού.</t>
  </si>
  <si>
    <t>Το μοντέλο βασίζεται στα ακόλουθα δεδομένα και μεθόδους: Ο προσδιορισμός του δυναμικού υπερθέρμανσης του πλανήτη (GWP) βασίζεται στη "μέθοδο 2013" που αναπτύχθηκε από τη Διακυβερνητική Επιτροπή για την Κλιματική Αλλαγή (IPCC). Παρέχει αποτελέσματα για χρονικό διάστημα 100 ετών και εκφράζει την επίπτωση σε kg ισοδυνάμων διοξειδίου του άνθρακα.</t>
  </si>
  <si>
    <t>Ο προσδιορισμός της αθροιστικής ζήτησης ενέργειας (CED) βασίζεται στη μέθοδο που δημοσιεύθηκε από το σύστημα περιβαλλοντικών δεδομένων "ecoinvent version 2.0" που επεκτάθηκε για τις πρώτες ύλες που διατίθενται στη βάση δεδομένων "SimaPro 7".</t>
  </si>
  <si>
    <t>Για τον προσδιορισμό της χρήσης νερού, η μέθοδος AWARE (Availalble WAter Remaining) χρησιμοποιείται σύμφωνα με τη σύσταση της διεθνούς ομάδας εργασίας για την αξιολόγηση της χρήσης νερού και το αποτύπωμα (WULCA). Αξιολογεί το ενδεχόμενο στέρησης νερού, είτε στους ανθρώπους είτε στα οικοσυστήματα, στηριζόμενο στην υπόθεση ότι όσο λιγότερο νερό παραμένει διαθέσιμο ανά περιοχή, τόσο πιθανότερο είναι να στερηθεί ένας άλλος χρήστης.</t>
  </si>
  <si>
    <t>Στοχευμένη Ομάδα:</t>
  </si>
  <si>
    <t>Διαχειριστές αλυσίδας εφοδιασμού &amp; περιβαλλοντικοί διαχειριστές</t>
  </si>
  <si>
    <t>Χρωματική κωδικοποίηση:</t>
  </si>
  <si>
    <t>Το πεδίο είναι πεδίο εισαγωγής και απαιτεί καταχώρηση από τον χρήστη.</t>
  </si>
  <si>
    <t>Πληροφορίες που μεταφέρονται από διαφορετικό μέρος του βιβλίου εργασίας.</t>
  </si>
  <si>
    <t>Πληροφορίες που υπολογίζονται με βάση άλλες τιμές.</t>
  </si>
  <si>
    <t>Πνευματικά δικαιώματα:</t>
  </si>
  <si>
    <t>Ολα τα δικαιώματα διατηρούνται; κανένα μέρος αυτού του εγγράφου δεν μπορεί να μεταφραστεί, να αναπαραχθεί, να αποθηκευτεί σε ένα σύστημα ανάκτησης, ή να μεταδοθεί σε οποιαδήποτε μορφή ή με οποιονδήποτε τρόπο, ηλεκτρονικό, μηχανικό, φωτοτυπικό, επανεγγραφή ή αλλιώς, χωρίς τη γραπτή άδεια του εκδότη. Πολλοί από τους χαρακτηρισμούς που χρησιμοποιούνται από τους κατασκευαστές και τους πωλητές για να διακρίνουν τα προϊόντα τους ισχυρίζονται ως εμπορικά σήματα. Η αναφορά αυτών των ονομασιών με οποιονδήποτε τρόπο δεν συνεπάγεται το συμπέρασμα ότι η χρήση αυτών των ονομασιών είναι νόμιμη χωρίς το περιεχόμενο του κατόχου του εμπορικού σήματος. Η αποκλειστική ευθύνη για το έγγραφο βαρύνει το έργο. Το έγγραφο δεν αντικατοπτρίζει απαραίτητα τη γνώμη της Ευρωπαϊκής Ένωσης. Ούτε το EASME ούτε η Ευρωπαϊκή Επιτροπή ευθύνονται για οποιαδήποτε χρήση των πληροφοριών που περιέχονται σε αυτήν. Η αγγλική έκδοση των πνευματικών δικαιωμάτων είναι έγκυρη. Οι εκδόσεις σε άλλες γλώσσες προορίζονται μόνο για ενημερωτικούς σκοπούς.</t>
  </si>
  <si>
    <t># 2: Αξιολόγηση κύκλου ζωής: εκδόσεις</t>
  </si>
  <si>
    <t>Ιστορικό έκδοσης</t>
  </si>
  <si>
    <t>Ημερομηνία</t>
  </si>
  <si>
    <t>Έκδοση</t>
  </si>
  <si>
    <t>Αλλαγή</t>
  </si>
  <si>
    <t>Αλλαγή από</t>
  </si>
  <si>
    <t># 2: Αξιολόγηση κύκλου ζωής: καταχώρηση</t>
  </si>
  <si>
    <t>Παρακάτω μπορείτε να καθορίσετε την ψυκτική αλυσίδα εφοδιασμού σας, συμπεριλαμβανομένων των υπό εξέταση προϊόντων, τα μέσα μεταφοράς και αποθήκευσης στην ψυκτική αλυσίδα και την εμφάνιση αποβλήτων. Ανατρέξτε στα διάφορα μέρη αυτού του φύλλου που παρακολουθούν τον κύκλο ζωής του προϊόντος από τον προμηθευτή πρώτων υλών έως τον λιανοπωλητή. Η ενημέρωση ολοκληρώθηκε, συνεχίστε στο φύλλο αποτελεσμάτων για να ελέγξετε τα αποτελέσματα του κύκλου ζωής ανά στάδιο στην αλυσίδα εφοδιασμού και για ολόκληρη την αλυσίδα εφοδιασμού.</t>
  </si>
  <si>
    <t># 0: Γενικά</t>
  </si>
  <si>
    <t>Επιλέξτε πρώτα αν θέλετε να αναλύσετε μια περιφερειακή ή παγκόσμια αλυσίδα εφοδιασμού. Η παγκόσμια αλυσίδα εφοδιασμού περιλαμβάνει επιπλέον βήματα στην αλυσίδα για μεταφορά μεγάλων αποστάσεων (βλ. Εικόνα παραπάνω).</t>
  </si>
  <si>
    <t>Επιλέξτε τον τύπο της κρύας αλυσίδας</t>
  </si>
  <si>
    <t>Μεμονωμένο προϊόν (προαιρετικό)</t>
  </si>
  <si>
    <t>Στην ανάλυση, μπορείτε να αναλύσετε έως και δύο προϊόντα. Η υποκείμενη βάση δεδομένων προσφέρει μια σειρά από προκαθορισμένα προϊόντα μαζί με προεπιλεγμένα δεδομένα από τη βάση δεδομένων Ecoinvent. Εκτός από τη χρήση αυτών των προεπιλογών, μπορείτε επίσης να αναλύσετε ένα μεμονωμένο προϊόν. Εάν θέλετε να το κάνετε, συμπληρώστε αυτήν την ενότητα ή μεταβείτε στην επόμενη. Η καταχώρηση εδώ θα εμφανιστεί αυτόματα στην επιλογή των προϊόντων στο επόμενο βήμα.</t>
  </si>
  <si>
    <t>Ονομασία προϊόντος</t>
  </si>
  <si>
    <t>Προσδιορίστε τις τιμές της κατηγορίας επιπτώσεων ανά kg παραδιδόμενου προϊόντος στο κατάστημα λιανικής για προσαρμοσμένο προϊόν (συμπεριλαμβανομένης της μεταφοράς και διανομής πρώτων υλών)</t>
  </si>
  <si>
    <t>Δυναμικό υπερθέρμανσης του πλανήτη</t>
  </si>
  <si>
    <t>Σωρευτική ζήτηση ενέργειας</t>
  </si>
  <si>
    <t>Απαίτηση νερού</t>
  </si>
  <si>
    <t>Προσδιορίστε τις τιμές μεταφοράς και αποθήκευσης για το προσαρμοσμένο προϊόν σας</t>
  </si>
  <si>
    <t>Θερμοκρασία μεταφοράς (-20 έως +20 ⁰C)</t>
  </si>
  <si>
    <t>Θερμοκρασία αποθήκευσης (-20 έως +20 ⁰C)</t>
  </si>
  <si>
    <t># 1: Ορισμός πρώτης ύλης</t>
  </si>
  <si>
    <t>Εδώ, μπορείτε να επιλέξετε προϊόντα από τις προεπιλογές ή την προηγούμενη αδιαφοροποίησή σας. Τα επίπεδα θερμοκρασίας για μεταφορά και αποθήκευση θα ρυθμιστούν αυτόματα και όλες οι επιπτώσεις που σχετίζονται με την παροχή πρώτων υλών και τη μεταφορά στον επόμενο επεξεργαστή (επόμενο βήμα) θα ληφθούν υπόψη αυτόματα.</t>
  </si>
  <si>
    <t>Κατηγορία προιόντος</t>
  </si>
  <si>
    <t>Υποκατηγορία προϊόντων</t>
  </si>
  <si>
    <t>Προϊόν</t>
  </si>
  <si>
    <t>Ποσό ανά παρτίδα (εκτός συσκευασίας)</t>
  </si>
  <si>
    <t># 2: Μεταφορά με τη μία (προμηθευτής στον παραγωγό)</t>
  </si>
  <si>
    <t>Αυτό το βήμα αφορά τη μεταφορά από τον προμηθευτή πρώτων υλών στον παραγωγό / μεταποιητή.</t>
  </si>
  <si>
    <t>Χρήση οχήματος</t>
  </si>
  <si>
    <t>Προσδιορίστε έως και πέντε οχήματα που χρησιμοποιούνται για μεταφορά σε αυτό το στάδιο της αλυσίδας εφοδιασμού. Επιλέξτε πρώτα εάν η ψύξη σε αυτά τα οχήματα παρέχεται από τους κύριους κινητήρες ή τις βοηθητικές μονάδες του οχήματος.</t>
  </si>
  <si>
    <t>Παρέχεται ψύξη από βοηθητικές μονάδες σε οχήματα μεταφοράς;</t>
  </si>
  <si>
    <t>Όχημα</t>
  </si>
  <si>
    <t>Τύπος οχήματος</t>
  </si>
  <si>
    <t>Απόσταση</t>
  </si>
  <si>
    <t>Χρόνος ταξιδιού</t>
  </si>
  <si>
    <t>Ποσότητα μεταφερόμενων πρώτων υλών</t>
  </si>
  <si>
    <t>Ψύξη</t>
  </si>
  <si>
    <t>Αυτή η ενότητα απαιτείται μόνο εάν χρησιμοποιούνται βοηθητικές μονάδες στα οχήματα μεταφοράς. Διαφορετικά, μπορεί να παραλειφθεί. Η ηλεκτρική ισχύς αναφέρεται σε οποιαδήποτε ζήτηση ανεξάρτητων μονάδων για ψύξη και εξαερισμό. Η ετήσια προφόρτιση ψύξης αναφέρεται στη συνολική ποσότητα ψυκτικού που προφορτίζεται ανά όχημα στην αρχή ενός έτους λειτουργίας, δηλαδή αντιστοιχεί στις απώλειες ψυκτικού ανά έτος</t>
  </si>
  <si>
    <t>Ψυκτικός</t>
  </si>
  <si>
    <t>Ετήσια αρχική προφόρτιση ψυκτικού</t>
  </si>
  <si>
    <t>Ηλεκτρική κατανάλωση βοηθητικών μονάδων</t>
  </si>
  <si>
    <t>Κατανάλωση νερού ανά έτος</t>
  </si>
  <si>
    <t># 3: Παραγωγός</t>
  </si>
  <si>
    <t>Οι δραστηριότητες στον παραγωγό σχετίζονται με την επεξεργασία των πρώτων υλών (είδη διατροφής, συμπεριλαμβανομένων των συσκευασιών και άλλα) σε ένα έτοιμο προϊόν διατροφής έτοιμο να μεταφερθεί σε μια αλυσίδα εφοδιασμού για κατανάλωση.</t>
  </si>
  <si>
    <t>Συσκευασία &amp; παραγωγή</t>
  </si>
  <si>
    <t>Προσδιορίστε τα υλικά που απαιτούνται για τη συσκευασία της συνολικής ποσότητας των προϊόντων που καθορίστηκαν νωρίτερα.</t>
  </si>
  <si>
    <t>Υλικό</t>
  </si>
  <si>
    <t>Υλικά συσκευασίας</t>
  </si>
  <si>
    <t>Ποσό</t>
  </si>
  <si>
    <t>Ανά παρτίδα: Τρόφιμα προς μεταφορά</t>
  </si>
  <si>
    <t>Ανά παρτίδα: Συσκευασία για μεταφορά ως ωφέλιμο φορτίο</t>
  </si>
  <si>
    <t>Ανά παρτίδα: Άθροισμα για μεταφορά ως ωφέλιμο φορτίο</t>
  </si>
  <si>
    <t>Σύνολο: Ετήσια παραγωγή (προϊόν διατροφής συμπεριλαμβανομένης της συσκευασίας)</t>
  </si>
  <si>
    <t>Αποθήκευση μετά την επεξεργασία</t>
  </si>
  <si>
    <t>Χρόνος αποθήκευσης παρτίδας στην αποθήκη</t>
  </si>
  <si>
    <t>Ο όγκος της αποθήκης καταλαμβάνεται από μια παρτίδα</t>
  </si>
  <si>
    <t>Συνολικό μέγεθος αποθήκευσης</t>
  </si>
  <si>
    <t>Ηλεκτρική ενέργεια από το δίκτυο</t>
  </si>
  <si>
    <t>Κατανάλωση ετησίως:</t>
  </si>
  <si>
    <t>Τύπος ψυκτικού</t>
  </si>
  <si>
    <t>Αρχική ετήσια προπληρωμή</t>
  </si>
  <si>
    <t>Απόβλητα</t>
  </si>
  <si>
    <t>Επιλέξτε τον τύπο και την ποσότητα των αποβλήτων και των λυμάτων και τη διάθεσή τους, καθώς και τα μέσα μεταφοράς για τη διάθεση των αποβλήτων.</t>
  </si>
  <si>
    <t>Τύπος και απόρριψη αποβλήτων</t>
  </si>
  <si>
    <t>Ποσότητα αποβλήτων ανά έτος</t>
  </si>
  <si>
    <t>Μονάδα</t>
  </si>
  <si>
    <t>Απόσταση μεταφοράς με φορτηγό</t>
  </si>
  <si>
    <t># 3α: Μεταφορά με τη μία (παραγωγός σε αποβάθρες / αεροδρόμιο)</t>
  </si>
  <si>
    <t>(μόνο για παγκόσμιες αλυσίδες εφοδιασμού)</t>
  </si>
  <si>
    <t>Αυτό το βήμα για τις παγκόσμιες αλυσίδες εφοδιασμού αντιμετωπίζει μόνο τις μεταφορές πριν από τη μεταφορά μεγάλων αποστάσεων.</t>
  </si>
  <si>
    <t>Η συμπλήρωση αυτών των κελιών απαιτείται μόνο εάν χρησιμοποιούνται βοηθητικές μονάδες:</t>
  </si>
  <si>
    <t># 3β: Αποθήκευση στις αποβάθρες / αεροδρόμιο στην προέλευση</t>
  </si>
  <si>
    <t>Αυτό το βήμα για τις παγκόσμιες αλυσίδες εφοδιασμού αντιμετωπίζει μόνο την αποθήκευση πριν από τη μεταφορά μεγάλων αποστάσεων.</t>
  </si>
  <si>
    <t># 3γ: Μεταφορά με τη μία (προέλευση προς προορισμό)</t>
  </si>
  <si>
    <t>Αυτό το βήμα για τις παγκόσμιες αλυσίδες εφοδιασμού αντιμετωπίζει μόνο τη μεταφορά μεγάλων αποστάσεων με αεροπλάνο ή πλοίο από τη θέση αποθήκευσης στην προέλευση προς τη θέση αποθήκευσης στον προορισμό.</t>
  </si>
  <si>
    <t># 3d: Αποθήκευση σε αποβάθρες / αεροδρόμιο στον προορισμό</t>
  </si>
  <si>
    <t>Αυτό το βήμα για τις παγκόσμιες αλυσίδες εφοδιασμού αντιμετωπίζει μόνο την αποθήκευση μετά από μεταφορά μεγάλων αποστάσεων.</t>
  </si>
  <si>
    <t># 4: Μεταφορά με τη μία (στο κέντρο διανομής)</t>
  </si>
  <si>
    <t>Αυτό το βήμα αντιμετωπίζει τη μεταφορά από τον προμηθευτή ή - σε περίπτωση παγκόσμιας αλυσίδας εφοδιασμού - από την τελευταία αποβάθρα / αεροδρόμιο στο κέντρο διανομής.</t>
  </si>
  <si>
    <t># 5: Κέντρο διανομής</t>
  </si>
  <si>
    <t>Αυτό το βήμα ασχολείται με την αποθήκευση των προϊόντων στο κέντρο διανομής.</t>
  </si>
  <si>
    <t>Αποθήκευση</t>
  </si>
  <si>
    <t>Μέση ποσότητα αποθηκευμένων προϊόντων ανά έτος</t>
  </si>
  <si>
    <t># 6: Πολλαπλές μεταφορές (κέντρο διανομής σε λιανοπωλητή)</t>
  </si>
  <si>
    <t>Αυτό το βήμα καλύπτει τη διανομή προϊόντων από την αποθήκη στους μεμονωμένους εμπόρους λιανικής.</t>
  </si>
  <si>
    <t># 7: Λιανοπωλητής</t>
  </si>
  <si>
    <t>Ως τελικό βήμα στην αλυσίδα εφοδιασμού, ο λιανοπωλητής είναι το μέρος όπου οι καταναλωτές μπορούν να αγοράσουν τρόφιμα και να το πάρουν εκτός του χώρου.</t>
  </si>
  <si>
    <t># 2: Αξιολόγηση κύκλου ζωής: Αποτελέσματα</t>
  </si>
  <si>
    <t>Σε αυτήν την ανάλυση, οι περιβαλλοντικές επιπτώσεις παρουσιάζονται σε τρεις από τις πιο κοινές κατηγορίες επιπτώσεων που εξετάζονται σήμερα. Αυτά τα αποτελέσματα είναι πιθανές επιπτώσεις που προκαλούνται από τις μοντελοποιημένες δραστηριότητες ανά λειτουργική μονάδα</t>
  </si>
  <si>
    <t>Δυνατότητες υπερθέρμανσης του πλανήτη (GWP)</t>
  </si>
  <si>
    <t>Ο προσδιορισμός του δυναμικού υπερθέρμανσης του πλανήτη βασίζεται στη «μέθοδο του 2013» που αναπτύχθηκε από τη Διακυβερνητική Επιτροπή για την Κλιματική Αλλαγή (IPCC). Παρέχει αποτελέσματα για χρονικό διάστημα 100 ετών και εκφράζει τον αντίκτυπο σε kg ισοδυνάμων διοξειδίου του άνθρακα.</t>
  </si>
  <si>
    <t>GWP ανά στάδιο: Τιμή ανά λειτουργική μονάδα</t>
  </si>
  <si>
    <t>Λάβετε υπόψη ότι η επίπτωση από τις πρώτες ύλες αποδίδεται στον παραγωγό.</t>
  </si>
  <si>
    <t>Αντίκτυπος ανά kg τελικού προϊόντος</t>
  </si>
  <si>
    <t>GWP αθροισμένο</t>
  </si>
  <si>
    <t>GWP ανά τύπο διαδικασίας: Τιμές ανά λειτουργική μονάδα</t>
  </si>
  <si>
    <t>Σωρευμένη ζήτηση ενέργειας (CED)</t>
  </si>
  <si>
    <t>Η Αθροιστική Ζήτηση Ενέργειας (CED) βασίζεται στη μέθοδο που δημοσιεύθηκε από το σύστημα περιβαλλοντικών δεδομένων "ecoinvent έκδοση 2.0" που επεκτάθηκε από την PRé Consultants για πρώτες ύλες που διατίθενται στη βάση δεδομένων "SimaPro 7".</t>
  </si>
  <si>
    <t>CED ανά στάδιο: Τιμή ανά λειτουργική μονάδα</t>
  </si>
  <si>
    <t>CED αθροισμένο</t>
  </si>
  <si>
    <t>CED ανά τύπο διαδικασίας: Τιμές ανά λειτουργική μονάδα</t>
  </si>
  <si>
    <t>Χρήση νερού (AWARE)</t>
  </si>
  <si>
    <t>Η μέθοδος AWARE (Availalble WAter Remaining) συνιστάται από τη διεθνή ομάδα εργασίας για την αξιολόγηση της χρήσης νερού και το αποτύπωμα (WULCA) για αναλύσεις LCA. Τον Μάιο του 2016, η μέθοδος εγκρίθηκε επίσης από το Κοινό Κέντρο Ερευνών της ΕΕ. Το AWARE αντιπροσωπεύει το σχετικό AWARE ανά περιοχή σε μια λεκάνη απορροής μετά την ικανοποίηση της ζήτησης ανθρώπων και υδρόβιων οικοσυστημάτων. Αξιολογεί το ενδεχόμενο στέρησης νερού, είτε στους ανθρώπους είτε στα οικοσυστήματα, στηριζόμενο στην υπόθεση ότι όσο λιγότερο νερό παραμένει διαθέσιμο ανά περιοχή, τόσο πιθανότερο είναι να στερηθεί ένας άλλος χρήστης.</t>
  </si>
  <si>
    <t>ΕΝΗΜΕΡΩΣΗ ανά στάδιο: Τιμή ανά λειτουργική μονάδα</t>
  </si>
  <si>
    <t>Νερό</t>
  </si>
  <si>
    <t>Συσσωρευμένο νερό</t>
  </si>
  <si>
    <t>ΠΡΟΕΙΔΟΠΟΙΗΣΗ ανά τύπο διαδικασίας: Τιμές ανά λειτουργική μονάδα</t>
  </si>
  <si>
    <t># 2: Αξιολόγηση κύκλου ζωής: Τι γίνεται αν;</t>
  </si>
  <si>
    <t>Σε αυτό το φύλλο, το περιβαλλοντικό κόστος των σταδίων παρέχεται σε συγκεντρωτική μορφή. Για να δείξετε τον αντίκτυπο των πιθανών μέτρων ενεργειακής απόδοσης σε αυτά τα κόστη, μπορείτε να αλλάξετε τις τιμές εισροών σχετικά με την κατανάλωση σε αυτό το φύλλο και να δείτε τις επιπτώσεις στο συνολικό κόστος της αλυσίδας ψυχρής τροφοδοσίας. Το περιβαλλοντικό κόστος κύκλου ζωής (E-LCC) αποδίδει το κόστος που σχετίζεται με ροές υλικών όπως enery, καύσιμα και εκπομπές διοξειδίου του άνθρακα, αλλά δεν περιλαμβάνουν το κόστος κεφαλαίου ή εργασίας.</t>
  </si>
  <si>
    <t>Περιβαλλοντικό κόστος ανά στάδιο</t>
  </si>
  <si>
    <t>Ο παρακάτω πίνακας δείχνει το κόστος του περιβαλλοντικού κύκλου ζωής (E-LCC) ανά στάδιο, δηλαδή το περιβαλλοντικό κόστος ανά τόνο παραδοθέντος προϊόντος στο status quo χωρίς κανένα μέτρο ενεργειακής απόδοσης. Λάβετε υπόψη ότι εστιάζει μόνο στα τμήματα των τοπικών αλυσίδων εφοδιασμού.</t>
  </si>
  <si>
    <t>Συνολικό περιβαλλοντικό LCC ανά τόνο που παραδόθηκε</t>
  </si>
  <si>
    <t>Ροές υλικών</t>
  </si>
  <si>
    <t>Ανάλυση ευαισθησίας</t>
  </si>
  <si>
    <t>Παρακάτω μπορείτε να καθορίσετε πιθανή εξοικονόμηση από την εφαρμογή μέτρων μέτρησης ενεργειακής απόδοσης κατά μήκος της αλυσίδας ψυχρής τροφοδοσίας και το στάδιο όπου αυτές οι αλλαγές ισχύουν. Η εξοικονόμηση πρέπει να υποδεικνύεται από αρνητικές τιμές.</t>
  </si>
  <si>
    <t>Τομέας αλλαγής</t>
  </si>
  <si>
    <t>Αλλαγή στην κατανάλωση ηλεκτρικής ενέργειας</t>
  </si>
  <si>
    <t>Αλλαγή σε άλλες πηγές ενέργειας</t>
  </si>
  <si>
    <t>Αλλαγή στην κατανάλωση νερού</t>
  </si>
  <si>
    <t>Αλλαγή στην προφόρτιση ψυκτικού</t>
  </si>
  <si>
    <t>Ποιο βήμα της αλυσίδας επηρεάζει το EEM;</t>
  </si>
  <si>
    <t>Αλλαγές στο κόστος του περιβαλλοντικού κύκλου ζωής</t>
  </si>
  <si>
    <t>Αλλαγή στο περιβαλλοντικό κόστος για ολόκληρη την αλυσίδα σε σύγκριση με την κατάσταση χωρίς μέτρο</t>
  </si>
  <si>
    <t>Υπολογισμός ευαισθησίας</t>
  </si>
  <si>
    <t>Παρακάτω θα βρείτε τα λεπτομερή κόστη για το κόστος του περιβαλλοντικού κύκλου ζωής με και χωρίς μέτρο για πληροφορίες.</t>
  </si>
  <si>
    <t>Κόστος που σχετίζεται με τις ροές υλικών</t>
  </si>
  <si>
    <t>Κανένα μέτρο</t>
  </si>
  <si>
    <t>Μεταφορά στον επεξεργαστή</t>
  </si>
  <si>
    <t>Αποθήκη</t>
  </si>
  <si>
    <t>Μεταφορές 2</t>
  </si>
  <si>
    <t>Αποθήκευση στο κέντρο διανομής</t>
  </si>
  <si>
    <t>Μεταφορές 3</t>
  </si>
  <si>
    <t>Λιανικό δωμάτιο</t>
  </si>
  <si>
    <t>Καύσιμα για μεταφορά</t>
  </si>
  <si>
    <t>Ηλεκτρική ενέργεια</t>
  </si>
  <si>
    <t>Καύσιμο για ψύξη</t>
  </si>
  <si>
    <t>Άλλη ενέργεια</t>
  </si>
  <si>
    <t>Εφαρμοσμένο μέτρο</t>
  </si>
  <si>
    <t>Κόστος που σχετίζεται με το GWP</t>
  </si>
  <si>
    <t>Ευαισθησία: Ρυθμίσεις τιμής</t>
  </si>
  <si>
    <t>Σε αυτήν την ενότητα, μπορείτε να τροποποιήσετε τις ρυθμίσεις τιμών για διαφορετικές ροές υλικού που σχετίζονται με τον υπολογισμό E-LCC.</t>
  </si>
  <si>
    <t>Καύσιμα</t>
  </si>
  <si>
    <t>Περιοχή ή βιομηχανική θέρμανση</t>
  </si>
  <si>
    <t>Ψυκτικά</t>
  </si>
  <si>
    <t># 2: Αξιολόγηση κύκλου ζωής: Βάση δεδομένων</t>
  </si>
  <si>
    <t>Μόνο εσωτερικές λίστες. Μην τροποποιήσετε αυτό το φύλλο, εκτός εάν γνωρίζετε τι κάνετε. Αυτό το φύλλο προστατεύεται από πνευματικά δικαιώματα και υπόκειται στους συγκεκριμένους όρους άδειας.</t>
  </si>
  <si>
    <t>Σημαντικό: Μην προσθέτετε ή αφαιρείτε στήλες καθώς χρησιμοποιούνται έμμεσες αναφορές στα φύλλα υπολογισμού!</t>
  </si>
  <si>
    <t>Κατηγορία</t>
  </si>
  <si>
    <t>Οδικές μεταφορές: Μεγάλη απόσταση</t>
  </si>
  <si>
    <t>Οδικές μεταφορές: Ψυγείο</t>
  </si>
  <si>
    <t>Τελικά προϊόντα</t>
  </si>
  <si>
    <t>Ημι-κατασκευασμένα προϊόντα</t>
  </si>
  <si>
    <t>Διαχείριση απορριμάτων</t>
  </si>
  <si>
    <t>Ηλεκτρική ενέργεια από μίξη χώρας</t>
  </si>
  <si>
    <t>Άλλοι φορείς ενέργειας</t>
  </si>
  <si>
    <t>Καύσιμα για ψύξη μεταφοράς</t>
  </si>
  <si>
    <t>Παγκόσμιες μεταφορές</t>
  </si>
  <si>
    <t>Προϊόν / διαδικασία</t>
  </si>
  <si>
    <t xml:space="preserve">Φορτηγό φορτίο </t>
  </si>
  <si>
    <t>Φορτηγό φορτίο R134a-ψύξη</t>
  </si>
  <si>
    <t>Επεξεργασμένο γάλα</t>
  </si>
  <si>
    <t>Τυρί</t>
  </si>
  <si>
    <t>Κοτόπουλο</t>
  </si>
  <si>
    <t>Χοιρινό</t>
  </si>
  <si>
    <t>Μοσχάρι</t>
  </si>
  <si>
    <t>Αυγά</t>
  </si>
  <si>
    <t>Φρέσκο Ψάρι</t>
  </si>
  <si>
    <t>Κατεψυγμένο Ψάρι</t>
  </si>
  <si>
    <t>Γιαούρτι</t>
  </si>
  <si>
    <t>Μήλο</t>
  </si>
  <si>
    <t>Αβοκάντο</t>
  </si>
  <si>
    <t>Μπανάνα</t>
  </si>
  <si>
    <t>φρέσκο πορτοκάλι</t>
  </si>
  <si>
    <t>Ροδάκινο</t>
  </si>
  <si>
    <t>Φράουλα</t>
  </si>
  <si>
    <t>Φρέσκια Τομάτα</t>
  </si>
  <si>
    <t>Καρότο</t>
  </si>
  <si>
    <t>Κρεμμύδι</t>
  </si>
  <si>
    <t>Πατάτα</t>
  </si>
  <si>
    <t>Μαρούλι</t>
  </si>
  <si>
    <t>Γυαλί συσκευασίας</t>
  </si>
  <si>
    <t>Κυματοειδές κουτί από χαρτόνι</t>
  </si>
  <si>
    <t>Μπουκάλια HDPE</t>
  </si>
  <si>
    <t>Χαρτόνι για υγειονομική ταφή</t>
  </si>
  <si>
    <t>Χαρτόνι για ανακύκλωση</t>
  </si>
  <si>
    <t>Γυαλί για υγειονομική ταφή</t>
  </si>
  <si>
    <t>Γυαλί για ανακύκλωση</t>
  </si>
  <si>
    <t>Πολυαιθυλένιο σε χώρο υγειονομικής ταφής</t>
  </si>
  <si>
    <t>Πολυαιθυλένιο προς ανακύκλωση</t>
  </si>
  <si>
    <t>Βιοαποικοδομήσιμα απόβλητα σε βιομηχανική κομποστοποίηση</t>
  </si>
  <si>
    <t>Απορρίμματα σφαγείων σε δημοτική αποτέφρωση</t>
  </si>
  <si>
    <t>Απόβλητα σφαγείων σε λίπος και κρέας και οστεάλευρα</t>
  </si>
  <si>
    <t>Βιοαποικοδομήσιμα απόβλητα σε αναερόβια χώνευση</t>
  </si>
  <si>
    <t>Μονάδα επεξεργασίας λυμάτων έως μέσο όρο</t>
  </si>
  <si>
    <t>Νερό βρύσης</t>
  </si>
  <si>
    <t>Ηλεκτρικό μείγμα Ευρώπης</t>
  </si>
  <si>
    <t>Φυσικό αέριο</t>
  </si>
  <si>
    <t>Βιο αιθανόλη από ζύμωση</t>
  </si>
  <si>
    <t>Βιο μεθάνιο 96%</t>
  </si>
  <si>
    <t>Θέρμανση από φυτό μικρής κλίμακας</t>
  </si>
  <si>
    <t>Εμπορευματικά αεροσκάφη με ψυκτικό - ψύξη</t>
  </si>
  <si>
    <t>Εκπαίδευση φορτίου με ψυκτικό - ψύξη</t>
  </si>
  <si>
    <t>Υπεραστικό φορτηγό πλοίο - ψύξη</t>
  </si>
  <si>
    <t>Χαμηλότερη τιμή θέρμανσης</t>
  </si>
  <si>
    <t>Τιμές</t>
  </si>
  <si>
    <t># 2: Αξιολόγηση κύκλου ζωής: Λίστες</t>
  </si>
  <si>
    <t>Μόνο εσωτερικές λίστες. Μην τροποποιήσετε αυτό το φύλλο, εκτός εάν γνωρίζετε τι κάνετε.</t>
  </si>
  <si>
    <t>Λίστα</t>
  </si>
  <si>
    <t>Καταχώρηση</t>
  </si>
  <si>
    <t>Γλώσσες</t>
  </si>
  <si>
    <t>Ναι όχι</t>
  </si>
  <si>
    <t>Αλυσίδα</t>
  </si>
  <si>
    <t>Προϊόντα</t>
  </si>
  <si>
    <t>Όχι</t>
  </si>
  <si>
    <t xml:space="preserve">Ναι </t>
  </si>
  <si>
    <t>Διαρροή (% ετησίως)</t>
  </si>
  <si>
    <t>Ψυχρή αλυσίδα</t>
  </si>
  <si>
    <t>Παγκόσμια</t>
  </si>
  <si>
    <t>Περιφερειακό</t>
  </si>
  <si>
    <t>Γαλακτοκομείο</t>
  </si>
  <si>
    <t>Ψάρι</t>
  </si>
  <si>
    <t>Έτοιμα γεύματα</t>
  </si>
  <si>
    <t>Φρούτα και λαχανικά</t>
  </si>
  <si>
    <t>Κρέας</t>
  </si>
  <si>
    <t>Μεμονωμένα προϊόντα</t>
  </si>
  <si>
    <t>Κατηγορία θερμοκρασίας</t>
  </si>
  <si>
    <t>Κρέμα</t>
  </si>
  <si>
    <t>Μεταποιημένο γάλα</t>
  </si>
  <si>
    <t>Φρέσκο ​​ψάρι (σε ​​πάγο)</t>
  </si>
  <si>
    <t>Υπερκατεψυγμένα ψάρια</t>
  </si>
  <si>
    <t>Κατεψυγμένα προϊόντα ψαριών</t>
  </si>
  <si>
    <t>Μαγειρεμένα πιάτα και έτοιμα γεύματα</t>
  </si>
  <si>
    <t>Φρέσκα</t>
  </si>
  <si>
    <t xml:space="preserve">Κατεψυγμένα </t>
  </si>
  <si>
    <t>Πουλερικά, κουνέλια ή κυνήγι</t>
  </si>
  <si>
    <t>Κατεψυγμένα αυγά, παραπροϊόντα σφαγίων, κουνέλια ή πουλερικά</t>
  </si>
  <si>
    <t>Κατεψυγμένο κρέας</t>
  </si>
  <si>
    <t xml:space="preserve">Κανένα προϊόν </t>
  </si>
  <si>
    <t>Θερμοκρασία αποθήκευσης [oC]</t>
  </si>
  <si>
    <t>Θερμοκρασία μεταφοράς [oC]</t>
  </si>
  <si>
    <t>Κατανάλωση καυσίμου: Πίνακας επιλογής</t>
  </si>
  <si>
    <t>οδικές μεταφορές</t>
  </si>
  <si>
    <t>Για ψύξη μεταφοράς</t>
  </si>
  <si>
    <t>Φορτηγό φορτίο</t>
  </si>
  <si>
    <t>Τύπος</t>
  </si>
  <si>
    <t>βαρύς</t>
  </si>
  <si>
    <t>Πυκνότητα</t>
  </si>
  <si>
    <t>Κατανάλωση καυσίμου: Βασικός πίνακας</t>
  </si>
  <si>
    <t>Φως</t>
  </si>
  <si>
    <t>Μεσαίο</t>
  </si>
  <si>
    <t xml:space="preserve">Βαρύ </t>
  </si>
  <si>
    <t>Θερμοκρασία</t>
  </si>
  <si>
    <t>Κατανάλωση καυσίμου</t>
  </si>
  <si>
    <t>Κατανάλωση καυσίμου: Διασταυρούμενος / παρεκτεινόμενος πίνακας</t>
  </si>
  <si>
    <t>Ομάδα προϊόντων:</t>
  </si>
  <si>
    <t>Κατηγορία θερμοκρασίας:</t>
  </si>
  <si>
    <t># 1: Πίνακας επιλογής ομάδας προϊόντων</t>
  </si>
  <si>
    <t># 2: Πίνακας επιλογής προϊόντων</t>
  </si>
  <si>
    <t>Δεν περιλαμβάνονται:</t>
  </si>
  <si>
    <t># 3: Τρέχουσα επιλογή</t>
  </si>
  <si>
    <t>Διαθέσιμες κατηγορίες</t>
  </si>
  <si>
    <t>Τρέχουσα επιλεγμένη κατηγορία</t>
  </si>
  <si>
    <t>Προς το παρόν διαθέσιμες ομάδες προϊόντων</t>
  </si>
  <si>
    <t>Επί του παρόντος επιλεγμένη ομάδα προϊόντων</t>
  </si>
  <si>
    <t>Προς το παρόν διαθέσιμα προϊόντα</t>
  </si>
  <si>
    <t>[Επιλογή]</t>
  </si>
  <si>
    <t>[Κείμενο]</t>
  </si>
  <si>
    <t>[kg CO2 eq / μονάδα]</t>
  </si>
  <si>
    <t>[MJ / μονάδα]</t>
  </si>
  <si>
    <t>[m³ eq / μονάδα]</t>
  </si>
  <si>
    <t>[kWh / μονάδα]</t>
  </si>
  <si>
    <t>[μερίδιο]</t>
  </si>
  <si>
    <t>[Ευρώ / τόνος]</t>
  </si>
  <si>
    <t>[Ευρώ / μονάδα]</t>
  </si>
  <si>
    <t>Γενικά στοιχεία: Μεταφορές</t>
  </si>
  <si>
    <t>Γενικά δεδομένα: Αποθήκευση</t>
  </si>
  <si>
    <t># 1: LCA: Επεξεργασία</t>
  </si>
  <si>
    <t># 2: LCA: Συσκευασία</t>
  </si>
  <si>
    <t># 3: LCA: Μεταφορές</t>
  </si>
  <si>
    <t># 4: LCA: Χρήση νερού</t>
  </si>
  <si>
    <t># 5: LCA: Χρήση ενέργειας</t>
  </si>
  <si>
    <t># 6: LCA: Ψύξη μεταφοράς (ηλεκτρική ενέργεια και καύσιμο μόνο για ψύξη)</t>
  </si>
  <si>
    <t># 7: LCA: Ολίσθηση ψυκτικού</t>
  </si>
  <si>
    <t># 8: LCA: Απόβλητα</t>
  </si>
  <si>
    <t>Αποτελέσματα LCA: Απόλυτος αντίκτυπος</t>
  </si>
  <si>
    <t>Αποτελέσματα ΑΚΖ: Ειδικός αντίκτυπος</t>
  </si>
  <si>
    <t>Τιμή</t>
  </si>
  <si>
    <t>Τύπος καυσίμου για ψύξη</t>
  </si>
  <si>
    <t>Διαρροή</t>
  </si>
  <si>
    <t>Θερμοκρασία αποθήκευσης</t>
  </si>
  <si>
    <t>Χρήση αποθήκης</t>
  </si>
  <si>
    <t>Κατασκευασμένα προϊόντα για μεταφορά</t>
  </si>
  <si>
    <t>Τύπος αποβλήτων</t>
  </si>
  <si>
    <t>Άλλη πηγή ενέργειας</t>
  </si>
  <si>
    <t>Χρήση ψυκτικού μέσου ανά έτος</t>
  </si>
  <si>
    <t>Ποσό για αποθήκευση</t>
  </si>
  <si>
    <t>Σύνολο</t>
  </si>
  <si>
    <t>#2 : Analyse du cycle de vie : Info</t>
  </si>
  <si>
    <t xml:space="preserve">Cet outil traite de l'analyse du cycle de vie des chaînes d'approvisionnement en froid. Il permet aux utilisateurs d'effectuer une analyse de la performance environnementale de toute la chaîne d'approvisionnement en froid. </t>
  </si>
  <si>
    <t>Langue :</t>
  </si>
  <si>
    <t>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t>
  </si>
  <si>
    <t xml:space="preserve">Version : </t>
  </si>
  <si>
    <t xml:space="preserve">Objectif : </t>
  </si>
  <si>
    <t xml:space="preserve">Cet outil vise à aider les acteurs de la chaîne du froid à identifier l'impact environnemental de leur chaîne. À cette fin, l'impact environnemental d'un ensemble de produits est modélisé pour trois des catégories d'impact les plus courantes, à savoir le potentiel de réchauffement planétaire, la demande énergétique cumulée et la consommation d'eau. </t>
  </si>
  <si>
    <t>Le modèle est basé sur les données et méthodes suivantes : La détermination du potentiel de réchauffement planétaire (PRP) est basée sur la "méthode 2013" développée par le Groupe d'experts intergouvernemental sur l'évolution du climat (GIEC). Elle fournit des résultats pour un horizon de 100 ans et exprime l'impact en termes de kg d'équivalents de dioxyde de carbone.</t>
  </si>
  <si>
    <t>La détermination de la demande énergétique cumulée (DEC) est basée sur la méthode publiée par le système de données environnementales "ecoinvent version 2.0" étendue aux matières premières disponibles dans la base de données du cycle de vie "SimaPro 7".</t>
  </si>
  <si>
    <t xml:space="preserve">Pour déterminer la consommation d'eau, la méthode AWARE (Availalble WAter Remaining) est utilisée conformément à la recommandation du groupe de travail international sur l'évaluation de l'utilisation de l'eau et l'empreinte écologique (WULCA).  Elle évalue le potentiel de privation d'eau, pour les humains ou les écosystèmes, en partant du principe que moins il y a d'eau disponible par zone, plus il y a de chances qu'un autre utilisateur soit privé. </t>
  </si>
  <si>
    <t>Groupe cible :</t>
  </si>
  <si>
    <t>Responsables de la chaîne d'approvisionnement et responsables de l'environnement</t>
  </si>
  <si>
    <t>Code couleur :</t>
  </si>
  <si>
    <t>Le champ est un champ de saisie et nécessite la saisie de l'utilisateur.</t>
  </si>
  <si>
    <t>Informations transférées depuis une autre partie du classeur.</t>
  </si>
  <si>
    <t>Informations calculées sur la base d'autres valeurs.</t>
  </si>
  <si>
    <t xml:space="preserve">Copyright : </t>
  </si>
  <si>
    <t>(c) Projet ICCEE, 2021 (www.iccee.eu)</t>
  </si>
  <si>
    <t>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l'EASME ni la Commission européenne ne sont responsables de l'usage qui pourrait être fait des informations qu'il contient. La version anglaise du copyright fait foi. Les versions dans d'autres langues sont uniquement destinées à des fins d'information.</t>
  </si>
  <si>
    <t>#2 : Analyse du cycle de vie : Versions</t>
  </si>
  <si>
    <t>Historique des versions</t>
  </si>
  <si>
    <t>Changement</t>
  </si>
  <si>
    <t>Changement par</t>
  </si>
  <si>
    <t>#2 : Analyse du cycle de vie : Entrée</t>
  </si>
  <si>
    <t xml:space="preserve">Vous pouvez spécifier ci-dessous votre chaîne d'approvisionnement en froid, y compris les produits considérés, les moyens de transport et de stockage dans la chaîne du froid ainsi que la fréquence des déchets. Veuillez parcourir les différentes parties de cette fiche qui retrace le cycle de vie du produit, du fournisseur de matières premières au détaillant. Après avoir terminé, veuillez passer à la fiche de résultats pour vérifier les résultats du cycle de vie par étape de la chaîne d'approvisionnement et pour l'ensemble de la chaîne d'approvisionnement. </t>
  </si>
  <si>
    <t>#0 : Général</t>
  </si>
  <si>
    <t>Veuillez d'abord choisir si vous souhaitez analyser une chaîne d'approvisionnement régionale ou mondiale. La chaîne d'approvisionnement mondiale comprend des étapes supplémentaires dans la chaîne pour le transport sur de longues distances (voir illustration ci-dessus).</t>
  </si>
  <si>
    <t>Sélectionnez le type de chaîne du froid</t>
  </si>
  <si>
    <t>Produit individualisé (facultatif)</t>
  </si>
  <si>
    <t xml:space="preserve">Dans l'analyse, vous pouvez analyser jusqu'à deux produits. La base de données sous-jacente offre une gamme de produits prédéfinis avec des données par défaut provenant de la base de données Ecoinvent. En plus d'utiliser ces données par défaut, vous pouvez également analyser un produit individuel. Si vous souhaitez le faire, veuillez remplir cette section ou passer directement à la suivante. L'entrée ici apparaîtra automatiquement dans la sélection des produits à l'étape suivante. </t>
  </si>
  <si>
    <t>Nom du produit</t>
  </si>
  <si>
    <t>Veuillez indiquer les valeurs des catégories d'impact par kg de produit livré chez le détaillant pour le produit personnalisé (y compris le transport et la distribution des matières premières).</t>
  </si>
  <si>
    <t xml:space="preserve">Potentiel de réchauffement global </t>
  </si>
  <si>
    <t>Demande d'énergie cumulée</t>
  </si>
  <si>
    <t>Demande en eau</t>
  </si>
  <si>
    <t>Veuillez spécifier les valeurs de transport et de stockage pour votre produit personnalisé</t>
  </si>
  <si>
    <t>Température de transport (-20 à +20 ⁰C)</t>
  </si>
  <si>
    <t>Température de stockage (-20 à +20 ⁰C)</t>
  </si>
  <si>
    <t>#1 : Définition des matières premières</t>
  </si>
  <si>
    <t>Ici, vous pouvez choisir des produits à partir des valeurs par défaut ou de votre précédente identification. Les niveaux de température pour le transport et le stockage seront définis automatiquement et tous les impacts liés à l'approvisionnement en matières premières et au transport vers le processeur (étape suivante) seront comptabilisés automatiquement.</t>
  </si>
  <si>
    <t>Catégorie de produit</t>
  </si>
  <si>
    <t>Sous-catégorie de produit</t>
  </si>
  <si>
    <t>Produit</t>
  </si>
  <si>
    <t>Quantité par lot (hors emballage)</t>
  </si>
  <si>
    <t>#2 : Transport en une seule fois (du fournisseur au producteur)</t>
  </si>
  <si>
    <t>Cette étape concerne le transport du fournisseur de matières premières au producteur/transformateur.</t>
  </si>
  <si>
    <t>Utilisation des véhicules</t>
  </si>
  <si>
    <t>Veuillez indiquer jusqu'à cinq véhicules utilisés pour le transport à cette étape de la chaîne d'approvisionnement. Veuillez d'abord indiquer si la réfrigération dans ces véhicules est assurée par les moteurs principaux ou par des unités auxiliaires.</t>
  </si>
  <si>
    <t>La réfrigération est-elle assurée par des unités auxiliaires dans les véhicules de transport ?</t>
  </si>
  <si>
    <t>Véhicule</t>
  </si>
  <si>
    <t>Type de véhicule</t>
  </si>
  <si>
    <t>Durée du trajet</t>
  </si>
  <si>
    <t>Quantité de matière première transportée</t>
  </si>
  <si>
    <t>Réfrigération</t>
  </si>
  <si>
    <t>Cette section n'est requise que si des unités auxiliaires sont utilisées sur les véhicules de transport. Sinon, elle peut être omise. La puissance électrique fait référence à toute demande d'unités indépendantes pour la réfrigération et la ventilation. La précharge annuelle de réfrigération correspond à la quantité totale de réfrigérant préchargé par véhicule au début d'une année d'exploitation, c'est-à-dire qu'elle correspond aux pertes de réfrigérant par an.</t>
  </si>
  <si>
    <t xml:space="preserve">Fluide frigorigène </t>
  </si>
  <si>
    <t>Précharge frigorifique initiale annuelle</t>
  </si>
  <si>
    <t>Consommation électrique des unités auxiliaires</t>
  </si>
  <si>
    <t>Consommation d'eau par an</t>
  </si>
  <si>
    <t>#3 : Producteur</t>
  </si>
  <si>
    <t xml:space="preserve">Les activités du producteur concernent la transformation des matières premières (produits alimentaires, y compris l'emballage et autres) en un produit alimentaire fini prêt à être transporté à travers la chaîne d'approvisionnement pour être consommé. </t>
  </si>
  <si>
    <t>Emballage et production</t>
  </si>
  <si>
    <t xml:space="preserve">Veuillez préciser les matériaux nécessaires à l'emballage de la quantité totale de produits spécifiés précédemment. </t>
  </si>
  <si>
    <t>Matériaux</t>
  </si>
  <si>
    <t>Matériaux d'emballage</t>
  </si>
  <si>
    <t>Quantité</t>
  </si>
  <si>
    <t>Par lot : Produit alimentaire à transporter</t>
  </si>
  <si>
    <t>Par lot : Emballage à transporter comme charge utile</t>
  </si>
  <si>
    <t>Par lot : Somme à transporter comme charge utile</t>
  </si>
  <si>
    <t>Total : Production annuelle (produit alimentaire y compris l'emballage)</t>
  </si>
  <si>
    <t>Stockage après traitement</t>
  </si>
  <si>
    <t>Durée de stockage d'un lot à l'entrepôt</t>
  </si>
  <si>
    <t>Volume de l'entrepôt occupé par un lot</t>
  </si>
  <si>
    <t>Volume total de l'entrepôt</t>
  </si>
  <si>
    <t>Électricité du réseau</t>
  </si>
  <si>
    <t>Consommation par an :</t>
  </si>
  <si>
    <t>Type de réfrigérant</t>
  </si>
  <si>
    <t>Précharge annuelle initiale</t>
  </si>
  <si>
    <t>Déchets</t>
  </si>
  <si>
    <t>Veuillez sélectionner le type et la quantité de déchets et d'eaux usées et leur élimination, ainsi que le moyen de transport pour l'élimination des déchets.</t>
  </si>
  <si>
    <t>Type de déchets et élimination</t>
  </si>
  <si>
    <t>Quantité de déchets par an</t>
  </si>
  <si>
    <t>Unité</t>
  </si>
  <si>
    <t>Distance de transport par camion</t>
  </si>
  <si>
    <t>#3a : Transport en une seule fois (du producteur aux docks/à l'aéroport)</t>
  </si>
  <si>
    <t>(uniquement pour les chaînes d'approvisionnement mondiales)</t>
  </si>
  <si>
    <t xml:space="preserve">Cette étape pour les chaînes d'approvisionnement mondiales ne concerne que le transport avant le transport longue distance. </t>
  </si>
  <si>
    <t>La réfrigération est-elle assurée par des unités de puissance auxiliaires dans les véhicules de transport ?</t>
  </si>
  <si>
    <t xml:space="preserve">Ces cases ne doivent être remplies que si des unités auxiliaires sont utilisées : </t>
  </si>
  <si>
    <t>#3b : Stockage sur les quais/aéroport d'origine</t>
  </si>
  <si>
    <t xml:space="preserve">Cette étape pour les chaînes d'approvisionnement mondiales ne concerne que le stockage avant le transport longue distance. </t>
  </si>
  <si>
    <t>#3c : Transport en une seule fois (de l'origine à la destination)</t>
  </si>
  <si>
    <t xml:space="preserve">Cette étape pour les chaînes d'approvisionnement mondiales concerne uniquement le transport longue distance par avion ou par bateau depuis le lieu de stockage à l'origine jusqu'au lieu de stockage à la destination. </t>
  </si>
  <si>
    <t>#3d : Stockage sur les quais/aéroport à destination</t>
  </si>
  <si>
    <t xml:space="preserve">Cette étape des chaînes d'approvisionnement mondiales concerne uniquement le stockage après le transport longue distance. </t>
  </si>
  <si>
    <t>#4 : Transport en une seule fois (vers le centre de distribution)</t>
  </si>
  <si>
    <t>Cette étape concerne le transport depuis le fournisseur ou - dans le cas d'une chaîne d'approvisionnement mondiale - depuis le dernier quai/aéroport jusqu'au centre de distribution.</t>
  </si>
  <si>
    <t>#5 : Centre de distribution</t>
  </si>
  <si>
    <t xml:space="preserve">Cette étape concerne le stockage des produits dans le centre de distribution. </t>
  </si>
  <si>
    <t>Stockage</t>
  </si>
  <si>
    <t>Quantité moyenne de produits stockés par an</t>
  </si>
  <si>
    <t>#6 : Transport multi-dépôts (du centre de distribution au détaillant)</t>
  </si>
  <si>
    <t>Cette étape couvre la distribution des produits de l'entrepôt aux détaillants individuels.</t>
  </si>
  <si>
    <t>#7 : Détaillant</t>
  </si>
  <si>
    <t>Dernière étape de la chaîne d'approvisionnement, le détaillant est l'endroit où les consommateurs peuvent acheter des aliments et les emporter.</t>
  </si>
  <si>
    <t>#2 : Analyse du cycle de vie : Résultats</t>
  </si>
  <si>
    <t>Dans cette analyse, les impacts environnementaux sont présentés selon trois des catégories d'impact les plus courantes actuellement considérées. Ces résultats sont des impacts potentiels causés par les activités modélisées par unité fonctionnelle</t>
  </si>
  <si>
    <t>Potentiels de réchauffement planétaire (PRP)</t>
  </si>
  <si>
    <t>La détermination du potentiel de réchauffement planétaire (PRP) est basée sur la "méthode 2013" développée par le Groupe d'experts intergouvernemental sur l'évolution du climat (GIEC). Elle fournit des résultats pour un horizon de 100 ans et exprime l'impact en termes de kg équivalents de dioxyde de carbone.</t>
  </si>
  <si>
    <t>PRP par étape : Valeur par unité fonctionnelle</t>
  </si>
  <si>
    <t>Veuillez noter que l'impact des matières premières est attribué au producteur.</t>
  </si>
  <si>
    <t>Impact par kg de produit final</t>
  </si>
  <si>
    <t>PRP</t>
  </si>
  <si>
    <t>PRP cumulé</t>
  </si>
  <si>
    <t>PRP par type de procédé : Valeurs par unité fonctionnelle</t>
  </si>
  <si>
    <t>Demande énergétique cumulée (DEC)</t>
  </si>
  <si>
    <t>La demande énergétique cumulée (DEC) est basée sur la méthode publiée par le système de données environnementales "ecoinvent version 2.0" étendu par PRé Consultants pour les matières premières disponibles dans la base de données du cycle de vie "SimaPro 7".</t>
  </si>
  <si>
    <t>DEC par étape : Valeur par unité fonctionnelle</t>
  </si>
  <si>
    <t>DEC</t>
  </si>
  <si>
    <t>DEC cumulé</t>
  </si>
  <si>
    <t>DEC par type de procédé : Valeurs par unité fonctionnelle</t>
  </si>
  <si>
    <t>Utilisation de l'eau (AWARE)</t>
  </si>
  <si>
    <t xml:space="preserve">La méthode AWARE (Availaible WAter Remaining) est recommandée par le groupe de travail international sur l'évaluation et l'empreinte de l'utilisation de l'eau (WULCA) pour les analyses ACV. En mai 2016, la méthode a également été approuvée par le Centre commun de recherche de l'UE. L'AWARE représente l'AWARE relative par zone dans un bassin versant après que la demande des humains et des écosystèmes aquatiques a été satisfaite. Il évalue le potentiel de privation d'eau, pour les humains ou les écosystèmes, en se basant sur l'hypothèse que moins il reste d'eau disponible par zone, plus il est probable qu'un autre utilisateur soit privé. </t>
  </si>
  <si>
    <t>AWARE par étape : Valeur par unité fonctionnelle</t>
  </si>
  <si>
    <t>Eau</t>
  </si>
  <si>
    <t>Eau cumulée</t>
  </si>
  <si>
    <t>AWARE par type de processus : Valeurs par unité fonctionnelle</t>
  </si>
  <si>
    <t>#2 : Analyse du cycle de vie : Et si ?</t>
  </si>
  <si>
    <t>Sur cette feuille, les coûts environnementaux des étapes sont fournis sous une forme regroupée. Pour montrer l'impact des mesures potentielles d'efficacité énergétique sur ces coûts, vous pouvez modifier les valeurs d'entrée concernant la consommation sur cette feuille et voir les effets sur les coûts globaux de la chaîne logistique du froid. Le coût environnemental du cycle de vie (E-LCC) fournit les coûts liés aux flux de matières tels que l'énergie, les carburants et les émissions de dioxyde de carbone, mais il n'inclut pas les coûts de capital ou de main-d'œuvre.</t>
  </si>
  <si>
    <t>Coûts environnementaux par étape</t>
  </si>
  <si>
    <t xml:space="preserve">Le tableau ci-dessous montre les coûts environnementaux du cycle de vie (E-LCC) par étape, c'est-à-dire les coûts environnementaux par tonne de produit livré au statu quo sans aucune mesure d'efficacité énergétique. Veuillez noter qu'il se concentre uniquement sur les parties des chaînes d'approvisionnement locales. </t>
  </si>
  <si>
    <t xml:space="preserve">Total des E-LCC environnementaux par tonne livrée </t>
  </si>
  <si>
    <t>Flux de matières</t>
  </si>
  <si>
    <t>Analyse de sensibilité</t>
  </si>
  <si>
    <t>Vous pouvez indiquer ci-dessous les économies potentielles résultant de la mise en œuvre de mesures d'efficacité énergétique tout au long de la chaîne d'approvisionnement du froid et l'étape à laquelle ces changements s'appliquent. Les économies doivent être indiquées par des valeurs négatives.</t>
  </si>
  <si>
    <t>Domaine de changement</t>
  </si>
  <si>
    <t>Changement dans la consommation d'électricité</t>
  </si>
  <si>
    <t>Changement dans les autres sources d'énergie</t>
  </si>
  <si>
    <t>Modification de la consommation d'eau</t>
  </si>
  <si>
    <t>Modification de la précharge du réfrigérant</t>
  </si>
  <si>
    <t>Quelle étape de la chaîne la mesure d'efficacité énergétique affecte-t-elle ?</t>
  </si>
  <si>
    <t>Modification des coûts environnementaux du cycle de vie</t>
  </si>
  <si>
    <t>Modification des coûts environnementaux pour l'ensemble de la chaîne par rapport à la situation sans mesure</t>
  </si>
  <si>
    <t>Calcul de sensibilité</t>
  </si>
  <si>
    <t>Vous trouverez ci-dessous le détail des coûts du cycle de vie environnemental avec et sans mesure pour information.</t>
  </si>
  <si>
    <t>Coût lié aux flux de matières</t>
  </si>
  <si>
    <t>Sans mesure</t>
  </si>
  <si>
    <t>Transport vers le transformateur</t>
  </si>
  <si>
    <t>Entrepôt</t>
  </si>
  <si>
    <t>Stockage au centre de distribution</t>
  </si>
  <si>
    <t>Arrière-boutique du détaillant</t>
  </si>
  <si>
    <t>Carburant pour le transport</t>
  </si>
  <si>
    <t>Électricité</t>
  </si>
  <si>
    <t>Combustible pour la réfrigération</t>
  </si>
  <si>
    <t>Autres énergies</t>
  </si>
  <si>
    <t>Fluide frigorigène</t>
  </si>
  <si>
    <t>Mesure mise en œuvre</t>
  </si>
  <si>
    <t>Coût lié au PRG</t>
  </si>
  <si>
    <t>Sensibilité : Paramètres de prix</t>
  </si>
  <si>
    <t>Dans cette section, vous pouvez modifier les paramètres de prix pour différents flux de matières pertinents pour le calcul E-LCC.</t>
  </si>
  <si>
    <t>Chauffage urbain ou industriel</t>
  </si>
  <si>
    <t>Fluides frigorigènes</t>
  </si>
  <si>
    <t>#2 : Analyse du cycle de vie : Base de données</t>
  </si>
  <si>
    <t>Listes internes uniquement. Veuillez ne pas modifier cette fiche à moins de savoir ce que vous faites. Cette fiche est protégée par le droit d'auteur et soumise aux conditions de licence spécifiques.</t>
  </si>
  <si>
    <t>Important : N'ajoutez pas ou ne supprimez pas de colonnes car des références indirectes sont utilisées dans les feuilles de calcul !</t>
  </si>
  <si>
    <t>Catégorie</t>
  </si>
  <si>
    <t>Transport routier : Longue distance</t>
  </si>
  <si>
    <t>Transport routier : Réfrigéré</t>
  </si>
  <si>
    <t>Produits finis</t>
  </si>
  <si>
    <t>Produits semi-fabriqués</t>
  </si>
  <si>
    <t>Traitement des déchets</t>
  </si>
  <si>
    <t>Électricité provenant d'un mélange de pays</t>
  </si>
  <si>
    <t>Autres vecteurs énergétiques</t>
  </si>
  <si>
    <t>Combustibles pour la réfrigération des transports</t>
  </si>
  <si>
    <t xml:space="preserve">Transport mondial </t>
  </si>
  <si>
    <t>Produit/processus</t>
  </si>
  <si>
    <t>Poids lourds</t>
  </si>
  <si>
    <t>Poids lourd Refroidissement au R134a</t>
  </si>
  <si>
    <t>Lait transformé</t>
  </si>
  <si>
    <t>Fromage</t>
  </si>
  <si>
    <t>Poulet</t>
  </si>
  <si>
    <t>Porc</t>
  </si>
  <si>
    <t>Bœuf</t>
  </si>
  <si>
    <t>Œufs</t>
  </si>
  <si>
    <t>Poisson frais (dans la glace)</t>
  </si>
  <si>
    <t>Poisson congelé</t>
  </si>
  <si>
    <t>Yaourt</t>
  </si>
  <si>
    <t>Pomme</t>
  </si>
  <si>
    <t>Avocat</t>
  </si>
  <si>
    <t>Orange fraîche</t>
  </si>
  <si>
    <t>Pêche</t>
  </si>
  <si>
    <t>Fraise</t>
  </si>
  <si>
    <t>Tomate fraîche</t>
  </si>
  <si>
    <t>Carotte</t>
  </si>
  <si>
    <t>Oignon</t>
  </si>
  <si>
    <t>Pomme de terre</t>
  </si>
  <si>
    <t>Laitue</t>
  </si>
  <si>
    <t>Verre d'emballage</t>
  </si>
  <si>
    <t>Boîte en carton ondulé</t>
  </si>
  <si>
    <t>Bouteilles en PEHD</t>
  </si>
  <si>
    <t>Carton à mettre en décharge</t>
  </si>
  <si>
    <t>Carton à recycler</t>
  </si>
  <si>
    <t>Verre à la décharge</t>
  </si>
  <si>
    <t>Verre à recycler</t>
  </si>
  <si>
    <t>Polyéthylène à la décharge</t>
  </si>
  <si>
    <t>Polyéthylène à recycler</t>
  </si>
  <si>
    <t>Déchets biodégradables vers le compostage industriel</t>
  </si>
  <si>
    <t>Déchets d'abattoirs vers l'incinération municipale</t>
  </si>
  <si>
    <t>Transformation des déchets d'abattoirs en suif et en farine de viande et d'os.</t>
  </si>
  <si>
    <t>Déchets biodégradables vers la digestion anaérobie</t>
  </si>
  <si>
    <t>Eaux usées vers une station d'épuration moyenne</t>
  </si>
  <si>
    <t>Eau du robinet</t>
  </si>
  <si>
    <t>Mix électrique Europe</t>
  </si>
  <si>
    <t>Gaz naturel</t>
  </si>
  <si>
    <t>Bioéthanol issu de la fermentation</t>
  </si>
  <si>
    <t>Bio-méthane 96 %.</t>
  </si>
  <si>
    <t>Chaleur provenant d'une installation à petite échelle</t>
  </si>
  <si>
    <t>Fret aérien avec réfrigérant - refroidissement</t>
  </si>
  <si>
    <t>Fret ferroviaire avec réfrigérant - refroidissement</t>
  </si>
  <si>
    <t>Navire de fret transocéanique - refroidissement</t>
  </si>
  <si>
    <t xml:space="preserve">Valeur calorifique inférieure </t>
  </si>
  <si>
    <t xml:space="preserve">Prix </t>
  </si>
  <si>
    <t>#2 : Analyse du cycle de vie : Listes</t>
  </si>
  <si>
    <t>Listes internes uniquement. Veuillez ne pas modifier cette feuille à moins de savoir ce que vous faites.</t>
  </si>
  <si>
    <t>Entrée</t>
  </si>
  <si>
    <t>Langues</t>
  </si>
  <si>
    <t>Oui Non</t>
  </si>
  <si>
    <t>Chaîne</t>
  </si>
  <si>
    <t>Produits</t>
  </si>
  <si>
    <t>Non</t>
  </si>
  <si>
    <t>Oui</t>
  </si>
  <si>
    <t>Fuites (% par an)</t>
  </si>
  <si>
    <t>Chaîne du froid</t>
  </si>
  <si>
    <t>Mondial</t>
  </si>
  <si>
    <t>Régional</t>
  </si>
  <si>
    <t>Catégorie de produits</t>
  </si>
  <si>
    <t>Produits laitiers</t>
  </si>
  <si>
    <t>Poisson</t>
  </si>
  <si>
    <t>Plats préparés</t>
  </si>
  <si>
    <t>Fruits et légumes</t>
  </si>
  <si>
    <t>Viande</t>
  </si>
  <si>
    <t>Produits individuels</t>
  </si>
  <si>
    <t>Catégorie de température</t>
  </si>
  <si>
    <t>Crème</t>
  </si>
  <si>
    <t>Poisson super réfrigéré</t>
  </si>
  <si>
    <t>Produits de la pêche congelés</t>
  </si>
  <si>
    <t>Plats cuisinés et repas préparés</t>
  </si>
  <si>
    <t>Frais</t>
  </si>
  <si>
    <t>Surgelés</t>
  </si>
  <si>
    <t>Volaille, lapin ou gibier</t>
  </si>
  <si>
    <t>Œufs, abats, lapin ou volaille congelés</t>
  </si>
  <si>
    <t>Viande congelée</t>
  </si>
  <si>
    <t>Aucun produit</t>
  </si>
  <si>
    <t>Température de stockage [oC]</t>
  </si>
  <si>
    <t>Température de transport [oC]</t>
  </si>
  <si>
    <t>Consommation de carburant : Tableau de sélection</t>
  </si>
  <si>
    <t>Transports routiers</t>
  </si>
  <si>
    <t>Pour la réfrigération des transports</t>
  </si>
  <si>
    <t>Camion poids lourd R134a-refroidissement</t>
  </si>
  <si>
    <t>lourd</t>
  </si>
  <si>
    <t>Densité</t>
  </si>
  <si>
    <t>Consommation de carburant : Tableau de base</t>
  </si>
  <si>
    <t>Léger</t>
  </si>
  <si>
    <t>Moyenne</t>
  </si>
  <si>
    <t>Lourd</t>
  </si>
  <si>
    <t>Température</t>
  </si>
  <si>
    <t>Consommation de carburant</t>
  </si>
  <si>
    <t>Consommation de carburant : Tableau inter/extrapolé</t>
  </si>
  <si>
    <t xml:space="preserve">Groupe de produits : </t>
  </si>
  <si>
    <t xml:space="preserve">Catégorie de température : </t>
  </si>
  <si>
    <t>#1 : Tableau de sélection des groupes de produits</t>
  </si>
  <si>
    <t>#2 : Tableau de sélection des produits</t>
  </si>
  <si>
    <t>Non inclus :</t>
  </si>
  <si>
    <t>#3 : Sélection actuelle</t>
  </si>
  <si>
    <t>Catégories disponibles</t>
  </si>
  <si>
    <t>Catégorie actuellement sélectionnée</t>
  </si>
  <si>
    <t>Groupes de produits actuellement disponibles</t>
  </si>
  <si>
    <t>Groupe de produits actuellement sélectionné</t>
  </si>
  <si>
    <t>Produits actuellement disponibles</t>
  </si>
  <si>
    <t>[Sélection]</t>
  </si>
  <si>
    <t>[Texte]</t>
  </si>
  <si>
    <t>[kg d'éq. CO2]</t>
  </si>
  <si>
    <t>[m³ éq.]</t>
  </si>
  <si>
    <t>[j]</t>
  </si>
  <si>
    <t>[kg d'éq. CO2/tkm]</t>
  </si>
  <si>
    <t xml:space="preserve">[m³ d'éq./tkm] </t>
  </si>
  <si>
    <t xml:space="preserve">[kg d'éq. CO2/m³] </t>
  </si>
  <si>
    <t>[m3 éq./m³]</t>
  </si>
  <si>
    <t xml:space="preserve">[l/h] </t>
  </si>
  <si>
    <t xml:space="preserve">[kg d'éq. CO2/kWh] </t>
  </si>
  <si>
    <t xml:space="preserve">[m³ éq./kWh] </t>
  </si>
  <si>
    <t>[kg d'éq. CO2/kg]</t>
  </si>
  <si>
    <t xml:space="preserve">[MJ/kg] </t>
  </si>
  <si>
    <t>[m³ éq./kg]</t>
  </si>
  <si>
    <t>[kg d'éq. CO2/UF]</t>
  </si>
  <si>
    <t>[m³ éq./UF]</t>
  </si>
  <si>
    <t>[kg d'éq. CO2/unité]</t>
  </si>
  <si>
    <t>[MJ/unité]</t>
  </si>
  <si>
    <t xml:space="preserve">[m³ éq./unité] </t>
  </si>
  <si>
    <t>[kWh/unité]</t>
  </si>
  <si>
    <t>[Part]</t>
  </si>
  <si>
    <t>[Euro/tonne]</t>
  </si>
  <si>
    <t>[Euro/kWh</t>
  </si>
  <si>
    <t xml:space="preserve">[Euro/l] </t>
  </si>
  <si>
    <t>[Euro/unité]</t>
  </si>
  <si>
    <t>Données générales : Transport</t>
  </si>
  <si>
    <t>Données générales : Stockage</t>
  </si>
  <si>
    <t>#1 : ACV : Traitement</t>
  </si>
  <si>
    <t>#2 : ACV : Emballage</t>
  </si>
  <si>
    <t>#3 : ACV : Transport</t>
  </si>
  <si>
    <t>#4 : ACV : Utilisation de l'eau</t>
  </si>
  <si>
    <t>#5 : ACV : Consommation d'énergie</t>
  </si>
  <si>
    <t>#6 : ACV : Réfrigération du transport (électricité et carburant uniquement pour la réfrigération)</t>
  </si>
  <si>
    <t>#7 : ACV : Gaspillage de réfrigérant</t>
  </si>
  <si>
    <t>#8 : ACV : Déchets</t>
  </si>
  <si>
    <t>Résultats de l'ACV : Impact absolu</t>
  </si>
  <si>
    <t>Résultats de l'ACV : Impact spécifique</t>
  </si>
  <si>
    <t xml:space="preserve">Consommation de carburant </t>
  </si>
  <si>
    <t>Prix</t>
  </si>
  <si>
    <t>Montant</t>
  </si>
  <si>
    <t>Type de combustible pour la réfrigération</t>
  </si>
  <si>
    <t>Fuite</t>
  </si>
  <si>
    <t>Température de stockage</t>
  </si>
  <si>
    <t>Utilisation de l'entrepôt</t>
  </si>
  <si>
    <t>Produits manufacturés à transporter</t>
  </si>
  <si>
    <t>Type de déchets</t>
  </si>
  <si>
    <t>Autre source d'énergie</t>
  </si>
  <si>
    <t>Utilisation de réfrigérant par an</t>
  </si>
  <si>
    <t>Quantité à stocker</t>
  </si>
  <si>
    <t>#2: Evaluarea Ciclului de Viață: Info</t>
  </si>
  <si>
    <t>Acest instrument se ocupă cu analiza ciclului de viață al lanțurilor de frig. Acesta permite utilizatorilor să efectueze o analiză a performanței de mediu a lanțurilor de frig în întregime.</t>
  </si>
  <si>
    <t>Limba:</t>
  </si>
  <si>
    <t>Notă importantă: Vă rugăm să alegeți limba înainte de a adăuga orice date în instrumentul gol și nu schimbați limba acolo mai târziu. În caz contrar, pot apărea probleme din cauza câmpurilor verticale care nu se actualizează automat la noua setare de limbă.</t>
  </si>
  <si>
    <t xml:space="preserve">Versiunea: </t>
  </si>
  <si>
    <t>Obiectiv:</t>
  </si>
  <si>
    <t>Aceste instrumente urmăresc să ajute actorii de-a lungul lanțului de aprovizionare la rece să identifice impactul lanțurilor lor asupra mediului. În acest scop, impactul asupra mediului pentru un set de produse este modelat pentru trei dintre cele mai frecvente categorii de impact, și anume  potențial încălzire globală, cererea cumulată de energie și consumul de apă.</t>
  </si>
  <si>
    <t>Modelul este bazat pe următoarele date și metode: Determinarea potențialului de încălzire globală (GWP) se bazează pe "metoda 2013" dezvoltată de Grupul interguvernamental privind schimbările climatice (IPCC). Acesta oferă rezultate pentru o perioada de 100 de ani și exprimă impactul în kg de echivalent dioxid de carbon.</t>
  </si>
  <si>
    <t>Determinarea cererii cumulative de energie (CED) se bazează pe metoda publicată de sistemul de date de mediu "ecoinvent versiunea 2.0" extinsă pentru materiile prime disponibile în baza de date de ciclu de viață "SimaPro 7".</t>
  </si>
  <si>
    <t>Pentru determinarea utilizării apei, metoda AWARE (Available WAter Remaining) este utilizată în conformitate cu recomandarea grupului de lucru internațional privind evaluarea utilizării apei și amprentarea (WULCA).  Acesta evaluează potențialul privării de apă, fie pentru oameni, fie pentru ecosisteme, pornind de la premisa că, cu cât apa rămâne mai putin disponibilă pe zonă, cu atât este mai probabil ca un alt utilizator să fie privat.</t>
  </si>
  <si>
    <t>Grup țintă:</t>
  </si>
  <si>
    <t>Manageri lanț de aprovizionare &amp; manageri de mediu</t>
  </si>
  <si>
    <t>Cod culoare:</t>
  </si>
  <si>
    <t>Câmpul este un câmp de input și necesită inputul utilizatorului.</t>
  </si>
  <si>
    <t>Informații transferate dintr-o parte diferită a registrului.</t>
  </si>
  <si>
    <t>Informații calculate pe baza altor valori.</t>
  </si>
  <si>
    <t xml:space="preserve">Drepturi de autor: </t>
  </si>
  <si>
    <t>(c) Proiectul ICCEE, 2021 (www.iccee.eu)</t>
  </si>
  <si>
    <t>Toate drepturile rezervate; nici o parte a acestui document nu poate fi tradusă, reprodusă, stocată într-un sistem de recuperare sau transmisă sub orice formă sau prin orice mijloace, electronice, mecanice, fotocopiere, re-cording sau în alt mod, fără permisiunea scrisă a editorului. Multe dintre denumirile utilizate de producători și vânzători pentru a distinge produsele lor sunt revendicate ca mărci comerciale. Citatul acestor denumiri în orice mod nu implică concluzia că utilizarea acestor denumiri este legală fără conținutul proprietarului mărcii. Responsabilitatea exclusivă pentru document revine proiectului. Documentul nu reflectă neapărat opinia Uniunii Europene. Nici EASME, nici Comisia Europeană nu sunt responsabile pentru orice utilizare care poate fi făcută a informațiilor conținute în acesta. Versiunea în limba engleză a drepturilor de autor este autoritară. Versiunile în alte limbi sunt doar în scop informativ.</t>
  </si>
  <si>
    <t>#2: Evaluarea Ciclului de Viață: Versiuni</t>
  </si>
  <si>
    <t>Istoria versiunii</t>
  </si>
  <si>
    <t>Versiunea</t>
  </si>
  <si>
    <t>Modificare</t>
  </si>
  <si>
    <t>Modificare făcută de</t>
  </si>
  <si>
    <t>#2: Evaluarea Ciclului de Viață: Input</t>
  </si>
  <si>
    <t>Mai jos puteți specifica lanțul de frig, inclusiv produsele avute în vedere, mijloacele de transport și depozitare în lanțul frigorific și apariția deșeurilor. Vă rugăm să parcurgeți diferitele părți ale acestei foi care urmărește ciclul de viață al produsului, de la furnizorul de materii prime la comerciantul cu amănuntul. Completat de sus  în jos, vă rugăm să treceți la fișa de rezultate pentru a verifica rezultatele ciclului de viață pe etapă din lanțul de aprovizionare și pentru întregul lanț de aprovizionare.</t>
  </si>
  <si>
    <t>Vă rugăm să alegeți mai întâi dacă doriți să analizați un lanț de aprovizionare regional sau global. Lanțul global de aprovizionare include pași suplimentari în lanț pentru transportul pe distanțe lungi (a se vedea ilustrația de mai sus).</t>
  </si>
  <si>
    <t>Selectați tipul de lanț de frig</t>
  </si>
  <si>
    <t>Produs indiviudalizat (opțional)</t>
  </si>
  <si>
    <t xml:space="preserve">În analiză, puteți analiza până la două produse. Baza de date subiacentă oferă o gamă de produse predefinite, împreună cu date implicite din baza de date Ecoinvent. În plus față de utilizarea acestor valori implicite, puteți analiza, de asemenea, un produs individual. Dacă doriți să faceți acest lucru, vă rugăm să completați această secțiune sau să treceți la următoarea. Intrarea aici va apărea automat în selecția de produse în pasul următor. </t>
  </si>
  <si>
    <t>Nume produs</t>
  </si>
  <si>
    <t>Vă rugăm să precizați valorile categoriei de impact per kg de produs livrat la comerciantul cu amănuntul pentru produsul personalizat (incl. transportul materiilor prime și distribuția).</t>
  </si>
  <si>
    <t>Potențial Încălzire Globală</t>
  </si>
  <si>
    <t>Cerere energie cumulativă</t>
  </si>
  <si>
    <t>Cerere de apă</t>
  </si>
  <si>
    <t>Specificați valorile de transport și stocare pentru produsul particularizat</t>
  </si>
  <si>
    <t>Temperatură transport (-20 la +20 ⁰C)</t>
  </si>
  <si>
    <t>Temperatură depozitare (-20 la +20 ⁰C)</t>
  </si>
  <si>
    <t>#1: Definiție materie primă</t>
  </si>
  <si>
    <t>Aici, puteți alege produse din valorile implicite sau din individualizarea dvs anterioară. Nivelurile de temperatură pentru transport și depozitare vor fi stabilite automat, iar toate efectele legate de furnizarea de materii prime și de transportul la procesatorul următor (etapa următoare) vor fi contabilizate automat.</t>
  </si>
  <si>
    <t>Categorie produs</t>
  </si>
  <si>
    <t>Sub-categorie produs</t>
  </si>
  <si>
    <t>Produs</t>
  </si>
  <si>
    <t>Cantitate per lot (excluzând ambalajul)</t>
  </si>
  <si>
    <t>#2: Transport livrare directă (furnizor la producător)</t>
  </si>
  <si>
    <t>Această etapă se adresează transportului de la furnizorul de materii prime la producător/prelucrător.</t>
  </si>
  <si>
    <t>Utilizare vehicul</t>
  </si>
  <si>
    <t>Vă rugăm să precizați până la cinci vehicule utilizate pentru transport în această etapă a lanțului de aprovizionare. Vă rugăm să alegeți mai întâi dacă refrigerarea acestor vehicule este asigurată de motoarele principale ale vehiculelor sau de unități auxiliare.</t>
  </si>
  <si>
    <t>Refrigerarea este asigurată de unități auxiliare alimentate în vehicule de transport?</t>
  </si>
  <si>
    <t>Vehicul</t>
  </si>
  <si>
    <t>Tip de vehicul</t>
  </si>
  <si>
    <t>Distanța</t>
  </si>
  <si>
    <t>Timp călătorie</t>
  </si>
  <si>
    <t>Cantitate materie primă transportată</t>
  </si>
  <si>
    <t>Refrigerare</t>
  </si>
  <si>
    <t>Această secțiune este necesară numai în cazul în care se utilizează unități auxiliare pe vehiculele de transport. În caz contrar, acesta poate fi ignorat. Puterea electrică se referă la orice cerere de unități independente pentru refrigerare și ventilație. Preîncărcarea anuală de refrigerare se referă la cantitatea totală de agent frigorific preîncărcat pe vehicul la începutul unui an de funcționare, adică corespunde pierderilor de agent frigorific pe an.</t>
  </si>
  <si>
    <t>Preîncarcarea anuală inițială de refrigerant</t>
  </si>
  <si>
    <t>Consum electricitate al unităților auxiliare</t>
  </si>
  <si>
    <t>Consum apă anual</t>
  </si>
  <si>
    <t>#3: Producător</t>
  </si>
  <si>
    <t>Activitățile producătorului se referă la prelucrarea materiilor prime (produse alimentare, inclusiv ambalaje și altele) într-un produs alimentar finit gata de transport într-un lanț de aprovizionare pentru consum.</t>
  </si>
  <si>
    <t>Producție ambalaje</t>
  </si>
  <si>
    <t xml:space="preserve">Vă rugăm specificați materialele necesare ambalării cantității totale de produse specificate mai devreme. </t>
  </si>
  <si>
    <t>Materiale ambalare</t>
  </si>
  <si>
    <t>Cantitate</t>
  </si>
  <si>
    <t>Per lot: produs alimentar la transport</t>
  </si>
  <si>
    <t>Per lot: ambalaj la transport ca sarcină utilă</t>
  </si>
  <si>
    <t>Per lot: suma pentru transport ca sarcină utilă</t>
  </si>
  <si>
    <t>Total: Producție anuală (produs alimentar incl. ambalaj)</t>
  </si>
  <si>
    <t>Depozitare după procesare</t>
  </si>
  <si>
    <t>Timp depozitare a unui lot în depozit</t>
  </si>
  <si>
    <t>Volum depozit ocupat de un lot</t>
  </si>
  <si>
    <t>Dimensiunea totală a depozitului</t>
  </si>
  <si>
    <t>Electricitate din rețea</t>
  </si>
  <si>
    <t>Consum pe an:</t>
  </si>
  <si>
    <t xml:space="preserve">Tip de refrigerant </t>
  </si>
  <si>
    <t>Preîncarcare anuală inițială</t>
  </si>
  <si>
    <t>Deșeu</t>
  </si>
  <si>
    <t>Vă rugăm să selectați tipul și cantitatea de deșeuri și de apă uzată, precum și mijloacele de transport pentru eliminarea deșeurilor.</t>
  </si>
  <si>
    <t>Tip de deșeu și eliminare</t>
  </si>
  <si>
    <t>Cantitatea de deșeu pe an</t>
  </si>
  <si>
    <t>Unitate</t>
  </si>
  <si>
    <t>Distanța de transport per camion</t>
  </si>
  <si>
    <t>#3a: Transport direct (producător la docuri/aeroport)</t>
  </si>
  <si>
    <t>(doar pentru lanțurile de aprovizionare globale)</t>
  </si>
  <si>
    <t>Acest pas pentru lanțurile globale de aprovizionare se adresează doar transportului înainte de transportul pe distanțe lungi.</t>
  </si>
  <si>
    <t>Completarea aici este necesară doar dacă sunt utilizate unități auxiliare:</t>
  </si>
  <si>
    <t>#3b: Depozitare la docuri/aeroport la origine</t>
  </si>
  <si>
    <t>#3c: Transport direct (origine la destinație)</t>
  </si>
  <si>
    <t>Această etapă pentru lanțurile de aprovizionare globale se adresează numai transportului pe distanțe lungi cu avionul sau cu nava de la locul de depozitare de la origine până la locul de depozitare de la destinație.</t>
  </si>
  <si>
    <t>#3d: Depozitare la docuri/aeroport la destinație</t>
  </si>
  <si>
    <t xml:space="preserve">Această etapă pentru lanțurile de aprovizionare globale se adresează doar depozitării după transportul de distanță lungă. </t>
  </si>
  <si>
    <t>#4: Transport direct (la centrul de distribuție)</t>
  </si>
  <si>
    <t>Acest pas se adresează transportului de la furnizor sau - în cazul lanțului global de aprovizionare - de la ultimul doc/aeroport la centrul de distribuție.</t>
  </si>
  <si>
    <t>#5: Centrul de distribuție</t>
  </si>
  <si>
    <t xml:space="preserve">Acest pas se adresează depozitării produselor la centrul de distribuție. </t>
  </si>
  <si>
    <t>Depozitare</t>
  </si>
  <si>
    <t>Cantitate medie de produse depozitate per an</t>
  </si>
  <si>
    <t>#6: Transport multiplu (de la centrul de distribuție la retailer)</t>
  </si>
  <si>
    <t>Aceste etape acoperă distribuirea produselor de la depozit la comercianții cu amănuntul individuali.</t>
  </si>
  <si>
    <t>Ca etapă finală din lanțul de aprovizionare, retailerul este locul în care  consumatorii pot cumpăra alimente și duce în afara site-ului.</t>
  </si>
  <si>
    <t>#2: Evaluarea Ciclului de Viață: Rezultate</t>
  </si>
  <si>
    <t>În această analiză, impactul asupra mediului este prezentat de-a lungul a trei dintre cele mai frecvente categorii de impact luate în considerare în prezent. Aceste rezultate sunt impacturi potențiale cauzate de activitățile modelate per unitate funcțională</t>
  </si>
  <si>
    <t>Potențialuri Incălzire Globală (GWP)</t>
  </si>
  <si>
    <t>Determinarea potențialului de încălzire globală (GWP) se bazează pe "metoda 2013" dezvoltată de Grupul interguvernamental privind schimbările climatice (IPCC). Acesta oferă rezultate pentru o perioada de 100 de ani și exprimă impactul în kg de echivalent dioxid de carbon.</t>
  </si>
  <si>
    <t>GWP per etapă: Valoare per unitate funcțională</t>
  </si>
  <si>
    <t>Vă rugăm să rețineți că impactul materiilor prime este atribuit producătorului.</t>
  </si>
  <si>
    <t xml:space="preserve">Impact per kg de produs final </t>
  </si>
  <si>
    <t>GWP cumulat</t>
  </si>
  <si>
    <t>GWP per tip de proces: Valori per unitate funcțională</t>
  </si>
  <si>
    <t>Cerere cumulată de energie (CED)</t>
  </si>
  <si>
    <t>Cererea cumulată de energie (CED) se bazează pe metoda publicată de sistemul de date de mediu "ecoinvent versiunea 2.0" extins de către Consultanții PRé pentru materiile prime disponibile în baza de date de ciclu de viață "SimaPro 7".</t>
  </si>
  <si>
    <t>CED per etapă: Valoare per unitate funcțională</t>
  </si>
  <si>
    <t>CED cumulată</t>
  </si>
  <si>
    <t>CED per tip de proces: Valori per unitate funcțională</t>
  </si>
  <si>
    <t>Utilizare apă (AWARE)</t>
  </si>
  <si>
    <t xml:space="preserve">Metoda AWARE (Available WAter Remaining) este recomandată de grupul de lucru internațional privind evaluarea utilizării apei și amprentarea (WULCA) pentru analizele LCA. În mai 2016, metoda a fost, de asemenea, aprobată de Centrul Comun de Cercetare al UE. AWARE reprezintă AWARE relativă pe fiecare zonă într-un bazin hidrografic, după ce cererea din partea oamenilor și ecosistemelor acvatice a fost îndeplinită. Aceasta evaluează potențialul privării de apă, fie pentru oameni, fie pentru ecosisteme, pornind de la premisa că, cu cât apa rămâne mai puțin disponibilă pe zonă, cu atât este mai probabil ca un alt utilizator să fie privat. </t>
  </si>
  <si>
    <t>AWARE per etapă: Valoare per unitate funcțională</t>
  </si>
  <si>
    <t>Apă</t>
  </si>
  <si>
    <t>Apă cumulată</t>
  </si>
  <si>
    <t>AWARE per tip de proces: Valori per unitate funcțională</t>
  </si>
  <si>
    <t>#2: Evaluarea Ciclului de Viață: Ce ar fi dacă?</t>
  </si>
  <si>
    <t>În această foaie, costurile de mediu ale etapelor sunt furnizate într-o formă agregată. Pentru a demonstra impactul potențialelor măsuri de eficiență energetică asupra acestor costuri, puteți modifica valorile de intrare în ceea ce privește consumul din această foaie și puteți vedea efectele asupra costurilor globale ale lanțului de aprovizionare la rece. Costul ciclului de viață al mediului (E-LCC) oferă costurile legate de fluxurile de materiale, cum ar fi energia, combustibilii și emisiile de dioxid de carbon, dar nu includ costurile de capital sau de forță de muncă.</t>
  </si>
  <si>
    <t>Costuri de mediu per etapă</t>
  </si>
  <si>
    <t>Tabelul de mai jos prezintă costurile ciclului de viață al mediului (E-LCC) pe etapă, și anume costurile de mediu per tonă de produs livrat la status quo, fără nicio măsură de eficiență energetică. Vă rugăm să rețineți că acesta se concentrează numai asupra părților lanțurilor de aprovizionare locale.</t>
  </si>
  <si>
    <t>Total LCC de mediu per tonă livrată</t>
  </si>
  <si>
    <t>Fluxuri materiale</t>
  </si>
  <si>
    <t>Analiza de senzitivitate</t>
  </si>
  <si>
    <t>Mai jos puteți specifica economiile potențiale generate de punerea în aplicare a măsurilor de eficiență energetică de-a lungul lanțului de frig și etapa în care se aplică aceste modificări. Economiile ar trebui să fie indicate prin valori negative.</t>
  </si>
  <si>
    <t>Domeniul schimbării</t>
  </si>
  <si>
    <t>Schimbare în consum electricitate</t>
  </si>
  <si>
    <t>Schimbare în alte surse de energie</t>
  </si>
  <si>
    <t>Schimbare în consum de apă</t>
  </si>
  <si>
    <t>Schimbare în preîncărcare refrigerant</t>
  </si>
  <si>
    <t>Schimbare</t>
  </si>
  <si>
    <t>Ce etapă a lanțului afectează EEM?</t>
  </si>
  <si>
    <t>Schimbări în costurile ciclului de viață de mediu</t>
  </si>
  <si>
    <t>Schimbarea costurilor de mediu pentru întregul lanț în comparație cu situația fără măsură.</t>
  </si>
  <si>
    <t>Calculație senzitivitate</t>
  </si>
  <si>
    <t>Mai jos găsiți costurile detaliate pentru costurile ciclului de viață al mediului, cu și fără măsură, pentru informare.</t>
  </si>
  <si>
    <t>Cost legat de fluxuri materiale</t>
  </si>
  <si>
    <t>Nicio măsură</t>
  </si>
  <si>
    <t>Transport la Procesator</t>
  </si>
  <si>
    <t>Depozit</t>
  </si>
  <si>
    <t>Depozitare la centru de distribuție</t>
  </si>
  <si>
    <t>Depozitul din spate la retailer</t>
  </si>
  <si>
    <t>Carburant pentru transport</t>
  </si>
  <si>
    <t xml:space="preserve">Electricitate   </t>
  </si>
  <si>
    <t>Carburant pentru refrigerare</t>
  </si>
  <si>
    <t>Altă energie</t>
  </si>
  <si>
    <t>Măsura implementată</t>
  </si>
  <si>
    <t>Cost legat de GWP</t>
  </si>
  <si>
    <t>Senzitivitate: Stabilirea prețurilor</t>
  </si>
  <si>
    <t>În această secțiune, puteți modifica setările de preț pentru diferite fluxuri de materiale relevante pentru calculul E-LCC.</t>
  </si>
  <si>
    <t>Carburanți</t>
  </si>
  <si>
    <t>Încălzire district sau industrială</t>
  </si>
  <si>
    <t>Refrigeranți</t>
  </si>
  <si>
    <t>#2: Evaluarea ciclului de viață: Baza de date</t>
  </si>
  <si>
    <t>Doar liste interne. Vă rugăm să nu modificați această foaie decât dacă știți ce faceți. Această foaie este protejată prin drepturi de autor și este supusă condițiilor specifice de licență.</t>
  </si>
  <si>
    <t>Important: Nu adăugați sau eliminați coloane, deoarece referințe indirecte sunt utilizate în foile de calcul!</t>
  </si>
  <si>
    <t xml:space="preserve">Categorie  </t>
  </si>
  <si>
    <t>Transport rutier: Distanță lungă</t>
  </si>
  <si>
    <t>Transport rutier: Refrigerat</t>
  </si>
  <si>
    <t>Produse finite</t>
  </si>
  <si>
    <t>Produse semi-fabricate</t>
  </si>
  <si>
    <t>Eliminare deșeu</t>
  </si>
  <si>
    <t>Electricitate din mix de țară</t>
  </si>
  <si>
    <t>Alți purtători de energie</t>
  </si>
  <si>
    <t>Carburanți pentru transport refrigerat</t>
  </si>
  <si>
    <t>Transport global</t>
  </si>
  <si>
    <t>Produs/proces</t>
  </si>
  <si>
    <t>Camion transport</t>
  </si>
  <si>
    <t>Camion transport R134a-răcire</t>
  </si>
  <si>
    <t>Lapte procesat</t>
  </si>
  <si>
    <t>Brânză</t>
  </si>
  <si>
    <t>Carne pasăre</t>
  </si>
  <si>
    <t>Carne porc</t>
  </si>
  <si>
    <t>Carne vită</t>
  </si>
  <si>
    <t>Ouă</t>
  </si>
  <si>
    <t>Pește proaspăt (în gheață)</t>
  </si>
  <si>
    <t>Pește congelat</t>
  </si>
  <si>
    <t>Iaurt</t>
  </si>
  <si>
    <t>Mere</t>
  </si>
  <si>
    <t>Portocale</t>
  </si>
  <si>
    <t>Pere</t>
  </si>
  <si>
    <t>Căpșuni</t>
  </si>
  <si>
    <t>Cartofi</t>
  </si>
  <si>
    <t>Morcovi</t>
  </si>
  <si>
    <t>Ceapă</t>
  </si>
  <si>
    <t>Tomate</t>
  </si>
  <si>
    <t>Salată</t>
  </si>
  <si>
    <t>Ambalaj gheață</t>
  </si>
  <si>
    <t>Cutie carton</t>
  </si>
  <si>
    <t>Sticle HDPE</t>
  </si>
  <si>
    <t>Carton la gunoi</t>
  </si>
  <si>
    <t>Carton la reciclare</t>
  </si>
  <si>
    <t>Sticlă la gunoi</t>
  </si>
  <si>
    <t>Sticlă la reciclare</t>
  </si>
  <si>
    <t>Polietilenă la gunoi</t>
  </si>
  <si>
    <t>Polietilenă la reciclare</t>
  </si>
  <si>
    <t>Deșeu biodegradabil la compostare industrială</t>
  </si>
  <si>
    <t>Deșeu abator la incinerare municipală</t>
  </si>
  <si>
    <t>Deșeu abator prelucrat în untură și faină de carne-oase</t>
  </si>
  <si>
    <t>Deșeu biodegradabil la digestie anaerobă</t>
  </si>
  <si>
    <t>Apă uzată la uzină tratare apă medie</t>
  </si>
  <si>
    <t>Apă potabilă</t>
  </si>
  <si>
    <t>Electricitate mix Europa</t>
  </si>
  <si>
    <t>Gaz natural</t>
  </si>
  <si>
    <t>Motorină</t>
  </si>
  <si>
    <t>Bio etanol din fermentație</t>
  </si>
  <si>
    <t>Bio metan 96%</t>
  </si>
  <si>
    <t>Bio motorină</t>
  </si>
  <si>
    <t>Căldura din uzine de capacitate mică</t>
  </si>
  <si>
    <t>Incălzire districtuală sau industrială</t>
  </si>
  <si>
    <t>Aeronave de marfă cu agent frigorific - răcire</t>
  </si>
  <si>
    <t>Tren de marfă cu refrigerant - răcire</t>
  </si>
  <si>
    <t>Transport transoceanic navă- răcire</t>
  </si>
  <si>
    <t>Canitate</t>
  </si>
  <si>
    <t>Valoare încălzire mai redusă</t>
  </si>
  <si>
    <t>Prețuri</t>
  </si>
  <si>
    <t>#2: Evaluarea ciclului de viată: Liste</t>
  </si>
  <si>
    <t>Doar liste interne. Vă rugăm să nu modificați această foaie decât dacă știți ce faceți.</t>
  </si>
  <si>
    <t>Intrare</t>
  </si>
  <si>
    <t>Limbi</t>
  </si>
  <si>
    <t>Da Nu</t>
  </si>
  <si>
    <t>Lanț</t>
  </si>
  <si>
    <t>Produse</t>
  </si>
  <si>
    <t>Nu</t>
  </si>
  <si>
    <t>Da</t>
  </si>
  <si>
    <t>Scurgeri (% pe an)</t>
  </si>
  <si>
    <t>Lanț de frig</t>
  </si>
  <si>
    <t>Lactate</t>
  </si>
  <si>
    <t>Pește</t>
  </si>
  <si>
    <t>Mâncăruri</t>
  </si>
  <si>
    <t>Fructe și legume</t>
  </si>
  <si>
    <t>Produse individuale</t>
  </si>
  <si>
    <t>Categorie temperatură</t>
  </si>
  <si>
    <t>Smântână</t>
  </si>
  <si>
    <t>Pește proaspat (în gheață)</t>
  </si>
  <si>
    <t>Pește supercongelat</t>
  </si>
  <si>
    <t>Produse pește congelat</t>
  </si>
  <si>
    <t>Mancăruri pregatite, preparate</t>
  </si>
  <si>
    <t>Proaspăt</t>
  </si>
  <si>
    <t>Congelat</t>
  </si>
  <si>
    <t>Carne pasăre, iepure, vânat</t>
  </si>
  <si>
    <t>Ouă, organe, iepure sau pasăre, congelate</t>
  </si>
  <si>
    <t>Carne congelată</t>
  </si>
  <si>
    <t>Niciun produs</t>
  </si>
  <si>
    <r>
      <t>Temperatură depozitare [</t>
    </r>
    <r>
      <rPr>
        <vertAlign val="superscript"/>
        <sz val="11"/>
        <color theme="1"/>
        <rFont val="Calibri"/>
        <family val="2"/>
        <charset val="238"/>
        <scheme val="minor"/>
      </rPr>
      <t>o</t>
    </r>
    <r>
      <rPr>
        <sz val="11"/>
        <color theme="1"/>
        <rFont val="Calibri"/>
        <family val="2"/>
        <scheme val="minor"/>
      </rPr>
      <t>C]</t>
    </r>
  </si>
  <si>
    <r>
      <t>Temperatură transport [</t>
    </r>
    <r>
      <rPr>
        <vertAlign val="superscript"/>
        <sz val="11"/>
        <color theme="1"/>
        <rFont val="Calibri"/>
        <family val="2"/>
        <charset val="238"/>
        <scheme val="minor"/>
      </rPr>
      <t>o</t>
    </r>
    <r>
      <rPr>
        <sz val="11"/>
        <color theme="1"/>
        <rFont val="Calibri"/>
        <family val="2"/>
        <scheme val="minor"/>
      </rPr>
      <t>C]</t>
    </r>
  </si>
  <si>
    <t>Consum carburant: Tabel selecție</t>
  </si>
  <si>
    <t>Categorie</t>
  </si>
  <si>
    <t>Transporturi rutiere</t>
  </si>
  <si>
    <t>Pentru refrigerare transport</t>
  </si>
  <si>
    <t>Tip</t>
  </si>
  <si>
    <t>greu</t>
  </si>
  <si>
    <t>Densitate</t>
  </si>
  <si>
    <t>Consum carburant: Tabel de bază</t>
  </si>
  <si>
    <t>Ușor</t>
  </si>
  <si>
    <t>Mediu</t>
  </si>
  <si>
    <t>Greu</t>
  </si>
  <si>
    <t>Consum carburant</t>
  </si>
  <si>
    <t>Consum carburant: Tabel inter-/extrapolat</t>
  </si>
  <si>
    <t xml:space="preserve">Grup produs: </t>
  </si>
  <si>
    <t xml:space="preserve">Categorie temperatură: </t>
  </si>
  <si>
    <t>#1: Tabel selecție Grup produs</t>
  </si>
  <si>
    <t>#2: Tabel selecție produs</t>
  </si>
  <si>
    <t>Neinclus:</t>
  </si>
  <si>
    <t>#3: Selecție curentă</t>
  </si>
  <si>
    <t>Categorii disponibile</t>
  </si>
  <si>
    <t>Categorie curentă selectată</t>
  </si>
  <si>
    <t>Grupuri produse curent disponibile</t>
  </si>
  <si>
    <t>Grup produs curent selectat</t>
  </si>
  <si>
    <t>Produse curent disponibile</t>
  </si>
  <si>
    <t>[Selecție]</t>
  </si>
  <si>
    <t>Date generale: Transport</t>
  </si>
  <si>
    <t>Date generale: Depozitare</t>
  </si>
  <si>
    <t>#1: LCA: Procesare</t>
  </si>
  <si>
    <t>#2: LCA: Ambalare</t>
  </si>
  <si>
    <t>#4: LCA: Utilizare apă</t>
  </si>
  <si>
    <t>#5: LCA: Utilizare energie</t>
  </si>
  <si>
    <t>#7: LCA: Pierderi refrigerant</t>
  </si>
  <si>
    <t>#8: LCA: Deșeu</t>
  </si>
  <si>
    <t>LCA rezultate: Impact absolut</t>
  </si>
  <si>
    <t>LCA rezultate: Impact specific</t>
  </si>
  <si>
    <t>Preț</t>
  </si>
  <si>
    <t>Tip de carburant pentru refrigerare</t>
  </si>
  <si>
    <t>Scurgere</t>
  </si>
  <si>
    <t>Temperatură depozitare</t>
  </si>
  <si>
    <t>Utilizare refrigerant per an</t>
  </si>
  <si>
    <t>Produse manufacturate pentru a fi transportate</t>
  </si>
  <si>
    <t xml:space="preserve">Tip de deșeu  </t>
  </si>
  <si>
    <t>Electricitate</t>
  </si>
  <si>
    <t>Altă sursă de energie</t>
  </si>
  <si>
    <t>Cantitate de depozitat</t>
  </si>
  <si>
    <t>Migliorare l'efficienza energetica della catena del freddo (ICCEE)</t>
  </si>
  <si>
    <t>Mejora de la eficiencia energética de la cadena de frío (ICCEE)</t>
  </si>
  <si>
    <t>Améliorer l'efficacité énergétique de la chaîne du froid (ICCEE)</t>
  </si>
  <si>
    <t>Îmbunătățirea Eficienței Energetice a Lanțului de Frig (ICCEE)</t>
  </si>
  <si>
    <t>Saldētu produktu ķēdes energoefektivitātes uzlabošana (ICCEE)</t>
  </si>
  <si>
    <t># 2: Aprites cikla analīze: informācija</t>
  </si>
  <si>
    <t>Šis piegādes ķēdes rīks attiecas uz enerģijas patēriņu uzglabāšanas un transporta darbībās saldētu produktu piegādes ķēdē un uzglabāšanas laika un temperatūras ietekmi uz pārtikas kvalitāti un enerģijas patēriņu.</t>
  </si>
  <si>
    <t>Valoda:</t>
  </si>
  <si>
    <t>Svarīga piezīme: Lūdzu, pirms visu datu pievienošanas tukšajam rīkam izvēlieties valodu un nemainiet valodu vēlāk. Pretējā gadījumā problēmas var rasties nolaižamo lauku dēļ, kas netiek automātiski atjaunināti uz jauno valodas iestatījumu.</t>
  </si>
  <si>
    <t>Versija:</t>
  </si>
  <si>
    <t>Mērķis:</t>
  </si>
  <si>
    <t>Šo rīku mērķis ir palīdzēt saldētu produktu piegādes ķēdes dalībniekiem noteikt viņu ķēžu ietekmi uz vidi. Šim nolūkam produktu kopas ietekme uz vidi tiek modelēta trim visizplatītākajām ietekmes kategorijām, t.i., globālās sasilšanas potenciāls, kumulatīvais enerģijas pieprasījums un ūdens patēriņš.</t>
  </si>
  <si>
    <t>Modelis ir balstīts uz šādiem datiem un metodēm: Globālās sasilšanas potenciāla (GWP) noteikšana ir balstīta uz "2013. gada metodi", ko izstrādājusi Starpvaldību klimata pārmaiņu grupa (IPCC). Tas sniedz rezultātus 100 gadu termiņā un izsaka ietekmi kā oglekļa dioksīda ekvivalentu kg.</t>
  </si>
  <si>
    <t>Kumulatīvā enerģijas pieprasījuma (CED) noteikšana balstās uz metodi, kuru publicējusi vides datu sistēma "ecoinvent version 2.0", kas paplašināta attiecībā uz izejvielām, kas pieejamas aprites cikla datu bāzē "SimaPro 7".</t>
  </si>
  <si>
    <t>Lai noteiktu ūdens patēriņu, tiek izmantota AWARE metode (Pieejamais ūdens atlikums) saskaņā ar starptautiskās darba grupas par ūdens izmantošanas novērtēšanu un vides pēdu nospiedumiem (WULCA) ieteikumiem. Tajā tiek novērtēts ūdens trūkuma potenciāls cilvēkiem vai ekosistēmām, balstoties uz pieņēmumu, ka jo mazāk ūdens būs pieejams katrā apgabalā, jo lielāka iespēja, ka tiks atņemts cits lietotājs.</t>
  </si>
  <si>
    <t>Mērķa grupa:</t>
  </si>
  <si>
    <t>Piegādes ķēdes vadītāji un vides pārvaldītāji</t>
  </si>
  <si>
    <t>Krāsas kods:</t>
  </si>
  <si>
    <t>Lauks ir ievades lauks, un tam ir jāievada lietotājs.</t>
  </si>
  <si>
    <t>Informācija, kas pārsūtīta no citas darba grāmatas daļas.</t>
  </si>
  <si>
    <t>Informācija, kas aprēķināta, pamatojoties uz citām vērtībām.</t>
  </si>
  <si>
    <t>Autortiesības:</t>
  </si>
  <si>
    <t>(c) ICCEE projekts, 2021. gads (www.iccee.eu)</t>
  </si>
  <si>
    <t>Visas tiesības aizsargātas; nevienu šī dokumenta daļu nedrīkst iztulkot, reproducēt, uzglabāt atvērtas piekļuves sistēmā vai pārsūtīt jebkādā formā vai ar jebkādiem līdzekļiem, elektroniski, mehāniski, fotokopējot, pārrakstot vai citādi, bez rakstiskas izdevēja atļaujas. Daudzi no apzīmējumiem, kurus ražotāji un pārdevēji izmanto, lai atšķirtu savus produktus, tiek uzskatīti par preču zīmēm. Šo apzīmējumu citēšana jebkādā veidā nenozīmē, ka to izmantošana ir likumīga bez preču zīmes īpašnieka satura. Vienīgā atbildība par dokumentu gulstas uz projektu. Dokuments ne vienmēr atspoguļo Eiropas Savienības viedokli. Ne EASME, ne Eiropas Komisija nav atbildīga par tajā ietvertās informācijas jebkādu izmantošanu. Autortiesības ir angļu valodā. Versijas citās valodās ir paredzētas tikai informatīviem nolūkiem.</t>
  </si>
  <si>
    <t># 2: Aprites cikla novērtējums: versijas</t>
  </si>
  <si>
    <t>Versijas vēsture</t>
  </si>
  <si>
    <t>Datums</t>
  </si>
  <si>
    <t>Versija</t>
  </si>
  <si>
    <t>Izmaiņas</t>
  </si>
  <si>
    <t>Izmaiņas veica</t>
  </si>
  <si>
    <t># 2: Aprites cikla novērtējums: ievade</t>
  </si>
  <si>
    <t>Zemāk jūs varat norādīt savu saldētu produ ktu piegādes ķēdi, ieskaitot apskatāmos produktus, transporta un uzglabāšanas līdzekļus piegādes ķēdē un atkritumu rašanos. Lūdzu, iepazīstieties ar dažādām šīs lapas daļām, kas izseko produkta aprites ciklam no izejvielu piegādātāja līdz mazumtirgotājam. Lai pabeigtu, lūdzu, pārejiet uz rezultātu lapu, lai pārbaudītu aprites cikla rezultātus katrā piegādes ķēdes posmā un visā piegādes ķēdē.</t>
  </si>
  <si>
    <t>#0: Vispārīgi</t>
  </si>
  <si>
    <t>Lūdzu, vispirms izvēlieties, vai vēlaties analizēt reģionālu vai globālu piegādes ķēdi. Globālā piegādes ķēde ietver ķēdē papildu soļus tālsatiksmes pārvadājumiem (skat. Ilustrāciju iepriekš).</t>
  </si>
  <si>
    <t>Izvēlieties saldēto produktu ķēdes veidu</t>
  </si>
  <si>
    <t>Individualizēts produkts (pēc izvēles)</t>
  </si>
  <si>
    <t>Analīzē varat analizēt ne vairāk kā divus produktus. Datu bāze piedāvā virkni iepriekš noteiktu produktu kopā ar noklusējuma datiem no Ecoinvent datu bāzes. Papildus šo noklusējumu izmantošanai varat analizēt arī atsevišķu produktu. Ja vēlaties to izdarīt, lūdzu, aizpildiet šo sadaļu vai citādi pārejiet uz nākamo. Ieraksts šeit automātiski parādīsies produktu izvēlē nākamajā solī.</t>
  </si>
  <si>
    <t>Produkta nosaukums</t>
  </si>
  <si>
    <t>Lūdzu, norādiet ietekmes kategorijas vērtības uz piegādātā produkta kg pie mazumtirgotāja pēc pasūtījuma izgatavotam produktam (ieskaitot izejvielu transportēšanu un izplatīšanu)</t>
  </si>
  <si>
    <t>Globālās sasilšanas potenciāls</t>
  </si>
  <si>
    <t>Kumulatīvā enerģijas pieprasījuma</t>
  </si>
  <si>
    <t>Ūdens pieprasījums</t>
  </si>
  <si>
    <t>Lūdzu, norādiet pielāgotā produkta transportēšanas un uzglabāšanas vērtības</t>
  </si>
  <si>
    <t>Transporta temperatūra (-20 līdz +20 ⁰C)</t>
  </si>
  <si>
    <t>Uzglabāšanas temperatūra (-20 līdz +20 ⁰C)</t>
  </si>
  <si>
    <t># 1: Izejvielu definīcija</t>
  </si>
  <si>
    <t>Šeit jūs varat izvēlēties produktus no noklusējuma vai iepriekšējās individuālās izvēles. Transportēšanas un uzglabāšanas temperatūras līmeņi tiks iestatīti automātiski, un automātiski tiks ņemta vērā visa ietekme, kas saistīta ar izejvielu piegādi un transportēšanu uz nākamo pārstrādātāju (nākamais solis).</t>
  </si>
  <si>
    <t>Produkta kategorija</t>
  </si>
  <si>
    <t>Produkta apakškategorija</t>
  </si>
  <si>
    <t>Produkts</t>
  </si>
  <si>
    <t>Daudzums vienā partijā (izņemot iepakojumu)</t>
  </si>
  <si>
    <t># 2: Transports uz vienu galapunktu (piegādātājs ražotājam)</t>
  </si>
  <si>
    <t>Šis solis attiecas uz transportēšanu no izejvielu piegādātāja uz ražotāju / pārstrādātāju.</t>
  </si>
  <si>
    <t>Transportlīdzekļu izmantošana</t>
  </si>
  <si>
    <t>Lūdzu, norādiet līdz pieciem transportlīdzekļiem, ko izmanto pārvadāšanai šajā piegādes ķēdes posmā. Lūdzu, vispirms izvēlieties, vai dzesēšanu šajos transportlīdzekļos nodrošina transportlīdzekļu galvenie dzinēji vai palīgierīces.</t>
  </si>
  <si>
    <t>Vai saldēšanu nodrošina transporta līdzekļu palīgdzinēji?</t>
  </si>
  <si>
    <t>Transportlīdzeklis</t>
  </si>
  <si>
    <t>Transportlīdzekļa tips</t>
  </si>
  <si>
    <t>Attālums</t>
  </si>
  <si>
    <t>Ceļošanas laiks</t>
  </si>
  <si>
    <t>Pārvadāto izejvielu daudzums</t>
  </si>
  <si>
    <t>Saldēšana</t>
  </si>
  <si>
    <t>Šī sadaļa ir nepieciešama tikai tad, ja transporta līdzekļos tiek izmantotas palīgierīces. Pretējā gadījumā to var izlaist. Elektriskā jauda attiecas uz jebkuru neatkarīgu vienību pieprasījumu pēc dzesēšanas un ventilācijas. Ikgadējā dzesēšanas priekšapmaksa attiecas uz kopējo dzesēšanas šķidruma daudzumu, kas uzpildīts uz vienu transportlīdzekli darbības gada sākumā, t.i., tas atbilst dzesētāja zaudējumiem gadā</t>
  </si>
  <si>
    <t>Aukstumaģents (dzesētājs)</t>
  </si>
  <si>
    <t>Ikgadējā sākotnējā dzesētāja uzpildīšana</t>
  </si>
  <si>
    <t>Palīgiekārtu elektrības patēriņš</t>
  </si>
  <si>
    <t>Ūdens pieprasījums gadā</t>
  </si>
  <si>
    <t># 3: Ražotājs</t>
  </si>
  <si>
    <t>Ražotāja darbības ir saistītas ar izejvielu (pārtikas preču, ieskaitot iepakojumu un citas) pārstrādi gatavā pārtikas produktā, kas ir gatavs transportēšanai visā piegādes ķēdē patēriņam.</t>
  </si>
  <si>
    <t>Iepakojums un ražošana</t>
  </si>
  <si>
    <t>Lūdzu, norādiet materiālus, kas nepieciešami, lai iepakotu iepriekš norādīto produktu kopējo daudzumu.</t>
  </si>
  <si>
    <t>Materiāli</t>
  </si>
  <si>
    <t>Iepakojuma materiāli</t>
  </si>
  <si>
    <t>Daudzums</t>
  </si>
  <si>
    <t>Vienā partijā: Pārtikas produkts, kas jāpārvadā</t>
  </si>
  <si>
    <t>Vienā partijā: Iepakojums transportēšanai kā daļa no kravas</t>
  </si>
  <si>
    <t>Vienā partijā: Kopējā krava</t>
  </si>
  <si>
    <t>Kopā: Gada produkcija (pārtikas produkti, ieskaitot iepakojumu)</t>
  </si>
  <si>
    <t>Uzglabāšana pēc apstrādes</t>
  </si>
  <si>
    <t>Partijas uzglabāšanas laiks noliktavā</t>
  </si>
  <si>
    <t>Partijas aizņemtais noliktavas tilpums</t>
  </si>
  <si>
    <t>Noliktavas izmērs</t>
  </si>
  <si>
    <t>Elektrības patēriņš no tīkla</t>
  </si>
  <si>
    <t>Patēriņš gadā:</t>
  </si>
  <si>
    <t>Dzesētāja tips</t>
  </si>
  <si>
    <t>Ikgadējā uzlāde</t>
  </si>
  <si>
    <t>Atkritumi</t>
  </si>
  <si>
    <t>Lūdzu, izvēlieties atkritumu un notekūdeņu veidu un daudzumu, kā arī to apglabāšanu un transporta veidu līdz atkritumu apglabāšanai.</t>
  </si>
  <si>
    <t>Atkritumu tips un apglabāšana</t>
  </si>
  <si>
    <t>Atkritumu daudzums gadā</t>
  </si>
  <si>
    <t>Vienības</t>
  </si>
  <si>
    <t>Transportēšanas attālums ar kravas mašīnu</t>
  </si>
  <si>
    <t># 3a: Transports uz vienu galapunktu (ražotājs uz ostu / lidostu)</t>
  </si>
  <si>
    <t>(tikai globālajām piegādes ķēdēm)</t>
  </si>
  <si>
    <t>Šis solis globālajām piegādes ķēdēm attiecas tikai uz transportu pirms tālsatiksmes pārvadājumiem.</t>
  </si>
  <si>
    <t>Šīs šūnas ir jāaizpilda tikai tad, ja tiek izmantotas palīgierīces:</t>
  </si>
  <si>
    <t># 3b: Uzglabāšana ostās / lidostā izcelsmes vietā</t>
  </si>
  <si>
    <t>Šis solis globālajām piegādes ķēdēm attiecas tikai uz uzglabāšanu pirms tālsatiksmes transporta.</t>
  </si>
  <si>
    <t># 3c: Transports uz vienu galapunktu ( uz galamērķi)</t>
  </si>
  <si>
    <t>Šis solis globālajām piegādes ķēdēm attiecas tikai uz tālsatiksmes pārvadājumiem ar lidmašīnu vai kuģi no uzglabāšanas vietas izcelsmes vietā līdz uzglabāšanas vietai galamērķī.</t>
  </si>
  <si>
    <t># 3d: Glabāšana ostās / lidostā galamērķī</t>
  </si>
  <si>
    <t>Šis globālo piegādes ķēžu posms attiecas uz uzglabāšanu tikai pēc tālsatiksmes transporta.</t>
  </si>
  <si>
    <t># 4: Transports uz vienu galapunktu ( uz izplatīšanas centru)</t>
  </si>
  <si>
    <t>Šis solis attiecas uz transportu no piegādātāja vai - globālas piegādes ķēdes gadījumā - no pēdējās ostas / lidostas līdz izplatīšanas centram.</t>
  </si>
  <si>
    <t># 5: Izplatīšanas centrs</t>
  </si>
  <si>
    <t>Šis solis attiecas uz produktu uzglabāšanu izplatīšanas centrā.</t>
  </si>
  <si>
    <t>Uzglabāšana</t>
  </si>
  <si>
    <t>Vidējais uzglabāto produktu daudzums gadā</t>
  </si>
  <si>
    <t># 6: Transports uz vairākiem galamērķiem ( no izplatīšanas centra pie mazumtirgotājam)</t>
  </si>
  <si>
    <t>Šīs darbības attiecas uz produktu izplatīšanu no noliktavas atsevišķiem mazumtirgotājiem.</t>
  </si>
  <si>
    <t>#7: Mazumtirgotājs</t>
  </si>
  <si>
    <t>Kā pēdējais solis piegādes ķēdē mazumtirgotājs ir vieta, kur patērētāji var iegādāties pārtiku.</t>
  </si>
  <si>
    <t># 2: Aprites cikla novērtējums: rezultāti</t>
  </si>
  <si>
    <t>Šajā analīzē ietekme uz vidi ir izklāstīta trīs no visbiežāk aplūkotajām ietekmes kategorijām. Šie rezultāti ir potenciālā ietekme, ko rada modelētās darbības uz vienu funkcionālo vienību</t>
  </si>
  <si>
    <t>Globālās sasilšanas potenciāla (GWP) noteikšana balstās uz "2013. gada metodi", ko izstrādājusi Starpvaldību klimata pārmaiņu grupa (IPCC). Tas sniedz rezultātus 100 gadu termiņā un izsaka ietekmi kā oglekļa dioksīda ekvivalentu kilogramos.</t>
  </si>
  <si>
    <t>GWP pēc pakāpes: vērtība uz funkcionālo vienību</t>
  </si>
  <si>
    <t>Lūdzu, ņemiet vērā, ka izejvielu ietekme tiek attiecināta uz ražotāju.</t>
  </si>
  <si>
    <t>Ietekme uz kg gala produkta</t>
  </si>
  <si>
    <t>GWP kumulatīvi</t>
  </si>
  <si>
    <t>GWP pēc procesa tipa: vērtība uz funkcionālo vienību</t>
  </si>
  <si>
    <t>Kumulatīvā enerģijas pieprasījums</t>
  </si>
  <si>
    <t>Kumulatīvais enerģijas pieprasījums (CED) ir balstīts uz metodi, kuru publicējusi vides datu sistēma "ecoinvent version 2.0", ko PRé Consultants paplašināja par izejvielām, kas pieejamas dzīves cilindru datu bāzē "SimaPro 7".</t>
  </si>
  <si>
    <t>CED pa posmiem: vērtība uz funkcionālo vienību</t>
  </si>
  <si>
    <t>CED kumulatīvi</t>
  </si>
  <si>
    <t>CED pēc procesa tipa: vērtība uz funkcionālo vienību</t>
  </si>
  <si>
    <t>Ūdens lietošana (AWARE)</t>
  </si>
  <si>
    <t xml:space="preserve">AWARE metodi (Available Water Remaining) LCA analīzēm iesaka starptautiskā darba grupa ūdens izmantošanas novērtēšanai un pēdu nospiedumiem (WULCA). 2016. gada maijā metodi apstiprināja arī ES Kopīgais pētniecības centrs. AWARE apzīmē relatīvo AWARE uz apgabalu ūdensšķirtnē pēc tam, kad ir apmierināts cilvēku un ūdens ekosistēmu pieprasījums. Tajā tiek novērtēts ūdens trūkuma potenciāls cilvēkiem vai ekosistēmām, balstoties uz pieņēmumu, ka jo mazāk ūdens būs pieejams katrā apgabalā, jo lielāka iespēja, ka tiks atņemts cits lietotājs. </t>
  </si>
  <si>
    <t>AWARE pēc pakāpes: vērtība uz funkcionālo vienību</t>
  </si>
  <si>
    <t>Ūdens</t>
  </si>
  <si>
    <t>Ūdens kumulatīvi</t>
  </si>
  <si>
    <t>AWARE pēc procesa tipa: vērtība uz funkcionālo vienību</t>
  </si>
  <si>
    <t xml:space="preserve"># 2: Aprites cikla novērtējums: Ko darīt, ja? </t>
  </si>
  <si>
    <t>Šajā lapā posmu vides izmaksas ir norādītas apkopotā veidā. Lai parādītu potenciālo energoefektivitātes pasākumu ietekmi uz šīm izmaksām, varat mainīt ievades vērtības attiecībā uz patēriņu šajā lapā un redzēt ietekmi uz aukstās piegādes ķēdes kopējām izmaksām. Vides dzīves cikla izmaksas (E-LCC) nodrošina izmaksas, kas saistītas ar tādu materiālu plūsmām kā enerģija, degviela un oglekļa dioksīda emisija, taču tās neietver kapitāla vai darbaspēka izmaksas.</t>
  </si>
  <si>
    <t>Vides izmaksas pa posmiem</t>
  </si>
  <si>
    <t>Zemāk esošajā tabulā ir norādītas vides aprites cikla izmaksas (E-LCC) vienā posmā, t.i., vides izmaksas par piegādāto produktu tonnu status quo bez energoefektivitātes rādītājiem. Lūdzu, ņemiet vērā, ka tas koncentrējas tikai uz vietējo piegādes ķēžu daļām.</t>
  </si>
  <si>
    <t>Kopējās E-LCC par piegādāto tonnu</t>
  </si>
  <si>
    <t>Materiālu plūsma</t>
  </si>
  <si>
    <t>Jūtības analīze</t>
  </si>
  <si>
    <t>Tālāk jūs varat norādīt iespējamos ietaupījumus, ieviešot energoefektivitātes rādītājus aukstā piegādes ķēdē, un posmu, kurā šīs izmaiņas tiek piemērotas. Uzkrājumi jānorāda ar negatīvām vērtībām.</t>
  </si>
  <si>
    <t>Pārmaiņu domēns</t>
  </si>
  <si>
    <t>Elektroenerģijas patēriņa izmaiņas</t>
  </si>
  <si>
    <t>Pārējo enerģijas avotu izmaiņas</t>
  </si>
  <si>
    <t>Ūdens patēriņa izmaiņas</t>
  </si>
  <si>
    <t>Aukstumaģenta iepriekšējās uzlādes izmaiņas</t>
  </si>
  <si>
    <t>Kuru ķēdes posmu ietekmē energoefektivitātes (EE) pasākums?</t>
  </si>
  <si>
    <t>Izmaiņas E-LCC</t>
  </si>
  <si>
    <t>Izmaiņas E-LCC visā ķēdē, salīdzinot ar situāciju bez EE pasākuma</t>
  </si>
  <si>
    <t>Jūtības analīzes aprēķins</t>
  </si>
  <si>
    <t>Zemāk ir norādītas detalizētas izmaksas par dzīves cikla izmaksām ar informāciju un bez tās.</t>
  </si>
  <si>
    <t>Izmaksas, kas saistītas ar materiālu plūsmām</t>
  </si>
  <si>
    <t>Nav pasākuma</t>
  </si>
  <si>
    <t>Transports pie pārstrādātāja</t>
  </si>
  <si>
    <t>Noliktava</t>
  </si>
  <si>
    <t>Transports 2</t>
  </si>
  <si>
    <t>Uzglabāšana sadales centrā</t>
  </si>
  <si>
    <t>Trnasports 3</t>
  </si>
  <si>
    <t>Mazumtirgotāja noliktava</t>
  </si>
  <si>
    <t>Degviela transportam</t>
  </si>
  <si>
    <t>Elektrība</t>
  </si>
  <si>
    <t>Degviela dzesēšanai</t>
  </si>
  <si>
    <t>Cita enerģija</t>
  </si>
  <si>
    <t>Dzesētājs</t>
  </si>
  <si>
    <t>Īstenotais pasākums</t>
  </si>
  <si>
    <t>Izmaksas attiecīnāmas uz GWP</t>
  </si>
  <si>
    <t>Jūtība: Cenas iestātījumi</t>
  </si>
  <si>
    <t>Šajā sadaļā varat mainīt cenu iestatījumus dažādām materiālu plūsmām, kas attiecas uz E-LCC aprēķinu.</t>
  </si>
  <si>
    <t>Degvielas</t>
  </si>
  <si>
    <t>Centralizēta vai industriāla ražotnes apkure</t>
  </si>
  <si>
    <t>#2: Aprites cikla analīze: datubāze</t>
  </si>
  <si>
    <t>Tikai iekšējie saraksti. Lūdzu, nemainiet šo lapu, ja vien nezināt, ko darāt. Šī lapa ir aizsargāta ar autortiesībām un uz to attiecas īpašie licences nosacījumi.</t>
  </si>
  <si>
    <t>Svarīgi: nepievienojiet un nenoņemiet kolonnas, jo aprēķinu lapās tiek izmantotas netiešas atsauces!</t>
  </si>
  <si>
    <t>Kategorija</t>
  </si>
  <si>
    <t>Ceļa transports: liela attāluma</t>
  </si>
  <si>
    <t>Ceļa transports: dzesētājs</t>
  </si>
  <si>
    <t>Gatavie produkti</t>
  </si>
  <si>
    <t>Daļēji gatavie produkti</t>
  </si>
  <si>
    <t>Iepakošanas materiāli</t>
  </si>
  <si>
    <t>Atkritumu apglabāšana</t>
  </si>
  <si>
    <t>Elektrības izcelsme pēc valsts</t>
  </si>
  <si>
    <t>Citi enerģijas nesēji</t>
  </si>
  <si>
    <t>Degviela dzesēšanai transportlīdzeklī</t>
  </si>
  <si>
    <t>Globāls transports</t>
  </si>
  <si>
    <t>Produkts/process</t>
  </si>
  <si>
    <t>Kravas mašīna</t>
  </si>
  <si>
    <t>Kravas mašīna ar R134a-dzesēšana</t>
  </si>
  <si>
    <t>Pārstrādāts piens</t>
  </si>
  <si>
    <t>Siers</t>
  </si>
  <si>
    <t>Vista</t>
  </si>
  <si>
    <t>Cūkgaļa</t>
  </si>
  <si>
    <t>Liellops</t>
  </si>
  <si>
    <t>Svaiga zivs (ledū)</t>
  </si>
  <si>
    <t>Sasaldēta zivs</t>
  </si>
  <si>
    <t>Jogurts</t>
  </si>
  <si>
    <t>Ābols</t>
  </si>
  <si>
    <t>Avakādo</t>
  </si>
  <si>
    <t>Banāns</t>
  </si>
  <si>
    <t>Svaigi apelsīni</t>
  </si>
  <si>
    <t>Persiki</t>
  </si>
  <si>
    <t>Zemene</t>
  </si>
  <si>
    <t>Svaigs tomāts</t>
  </si>
  <si>
    <t>Burkāns</t>
  </si>
  <si>
    <t>Sīpols</t>
  </si>
  <si>
    <t>Kartupelis</t>
  </si>
  <si>
    <t>Salāti</t>
  </si>
  <si>
    <t>Iekojums (stikls)</t>
  </si>
  <si>
    <t>Gofrētā kartona kārba</t>
  </si>
  <si>
    <t>HDPE pudele</t>
  </si>
  <si>
    <t>Kartona apglabāšana poligonā</t>
  </si>
  <si>
    <t>Kartona pārstrāde</t>
  </si>
  <si>
    <t>Stikla apblabāšana poligonā</t>
  </si>
  <si>
    <t>Stikla pārstrāde</t>
  </si>
  <si>
    <t>Polietilēna apglabāšana poligonā</t>
  </si>
  <si>
    <t>Pulietilēna pārstrāde</t>
  </si>
  <si>
    <t>Biodegradablo atkritumu industriāla kompostēšana</t>
  </si>
  <si>
    <t>Lopkautuves atkritumu sadedzināšana</t>
  </si>
  <si>
    <t>Lopkautuves atkritumu pārstrāde blakusproduktos (tauki, gaļa, kauli)</t>
  </si>
  <si>
    <t>Biodegradablo atkritumu anaerobā pārstrāde</t>
  </si>
  <si>
    <t>Notekūdeņu pārstrāde parastā notekūdeņu stacijā</t>
  </si>
  <si>
    <t>Krāna ūdens</t>
  </si>
  <si>
    <t>Elektrības ģenerācija Eiropā</t>
  </si>
  <si>
    <t>Dabasgāze</t>
  </si>
  <si>
    <t>Dīzeļdiegviela</t>
  </si>
  <si>
    <t>Bioetanols no fermentācijas</t>
  </si>
  <si>
    <t>Biometāns 96%</t>
  </si>
  <si>
    <t>Biodīzelis</t>
  </si>
  <si>
    <t>Siltums no mazas katlu mājas</t>
  </si>
  <si>
    <t>Centralizēta vai industriālas ražošanas apkure</t>
  </si>
  <si>
    <t>Kravas lidmašīnas ar dzesētāju - dzesēšana</t>
  </si>
  <si>
    <t xml:space="preserve">Vilciena kravas ar dzesētāju - dzesēšana </t>
  </si>
  <si>
    <t>Transoceanic kravas kuģis - dzesēšana</t>
  </si>
  <si>
    <t>Zemākais sadegšanas siltums</t>
  </si>
  <si>
    <t>Cenas</t>
  </si>
  <si>
    <t xml:space="preserve"># 2: Aprites cikla novērtējums: saraksti </t>
  </si>
  <si>
    <t xml:space="preserve">Tikai iekšējie saraksti. Lūdzu, nemainiet šo lapu, ja vien nezināt, ko darāt. </t>
  </si>
  <si>
    <t>Saraksts</t>
  </si>
  <si>
    <t>Ievade</t>
  </si>
  <si>
    <t>Valodas</t>
  </si>
  <si>
    <t>Jā Nē</t>
  </si>
  <si>
    <t>Dzesētāji</t>
  </si>
  <si>
    <t>Ķēde</t>
  </si>
  <si>
    <t>Nē</t>
  </si>
  <si>
    <t>Jā</t>
  </si>
  <si>
    <t>Zudumi (% gadā)</t>
  </si>
  <si>
    <t>Saldēta produkta ķēde</t>
  </si>
  <si>
    <t>Globāla</t>
  </si>
  <si>
    <t>Reģionāla</t>
  </si>
  <si>
    <t>Piena produkti</t>
  </si>
  <si>
    <t>Gatavi produkti</t>
  </si>
  <si>
    <t>Augļi un dārzeņi</t>
  </si>
  <si>
    <t>Gaļa</t>
  </si>
  <si>
    <t>Induviduāli produkti</t>
  </si>
  <si>
    <t>Temperātūras kategorija</t>
  </si>
  <si>
    <t>Krējums</t>
  </si>
  <si>
    <t>Apstrādāts piens</t>
  </si>
  <si>
    <t>Atdzesēta zivs</t>
  </si>
  <si>
    <t>Sasaldēti zivs produkti</t>
  </si>
  <si>
    <t>Gatavi ēdieni un gatavi ēdieni</t>
  </si>
  <si>
    <t>Svaigs</t>
  </si>
  <si>
    <t>Saldēti</t>
  </si>
  <si>
    <t>Mājputni, truši vai gani</t>
  </si>
  <si>
    <t>Saldētas olas, subprodukti, truši vai mājputni</t>
  </si>
  <si>
    <t>Saldēta gaļa</t>
  </si>
  <si>
    <t>Nav produkta</t>
  </si>
  <si>
    <t>Uzglabāšanas temperatūra [oC]</t>
  </si>
  <si>
    <t>Transportēšanas temperatūra [oC]</t>
  </si>
  <si>
    <t>Degvielas patēriņš: atlases tabula</t>
  </si>
  <si>
    <t>Ceļa transports</t>
  </si>
  <si>
    <t>Dzesēšanai transportlīdzeklī</t>
  </si>
  <si>
    <t>Produkts/ process</t>
  </si>
  <si>
    <t>Kravas mašīna R134a-dzesētājs</t>
  </si>
  <si>
    <t>Tips</t>
  </si>
  <si>
    <t>smags</t>
  </si>
  <si>
    <t>Blīvums</t>
  </si>
  <si>
    <t>Degvielas patēriņš: pamattabula</t>
  </si>
  <si>
    <t>Viegls</t>
  </si>
  <si>
    <t>Vidējs</t>
  </si>
  <si>
    <t>Smags</t>
  </si>
  <si>
    <t>Temperatūra</t>
  </si>
  <si>
    <t>Degvielas patēriņš</t>
  </si>
  <si>
    <t>Degvielas patēriņš: inter-/ekstrapolēta tabula</t>
  </si>
  <si>
    <t>Produkta grupa:</t>
  </si>
  <si>
    <t># 1: Produktu grupu atlases tabula</t>
  </si>
  <si>
    <t># 2: Produktu izvēles tabula</t>
  </si>
  <si>
    <t>Nav iekļauts:</t>
  </si>
  <si>
    <t># 3: Pašreizējā atlase</t>
  </si>
  <si>
    <t>Pieejmās kategorijas</t>
  </si>
  <si>
    <t>Pašlaik izvēlētā kategorija</t>
  </si>
  <si>
    <t>Pašlaik pieejamās produktu grupas</t>
  </si>
  <si>
    <t>Pašlaik izvēlētā produktu grupa</t>
  </si>
  <si>
    <t>Pašlaik pieejamie produkti</t>
  </si>
  <si>
    <t>[Atlase]</t>
  </si>
  <si>
    <t>[Teksts]</t>
  </si>
  <si>
    <t>[kg/gadā]</t>
  </si>
  <si>
    <t>[%/gadā]</t>
  </si>
  <si>
    <t>[h/gadā]</t>
  </si>
  <si>
    <r>
      <t>[kg CO</t>
    </r>
    <r>
      <rPr>
        <vertAlign val="subscript"/>
        <sz val="11"/>
        <rFont val="Calibri"/>
        <family val="2"/>
      </rPr>
      <t>2</t>
    </r>
    <r>
      <rPr>
        <sz val="11"/>
        <rFont val="Calibri"/>
        <family val="2"/>
      </rPr>
      <t xml:space="preserve"> eq/vienība]</t>
    </r>
  </si>
  <si>
    <t>[MJ/vienība]</t>
  </si>
  <si>
    <t>[m³ eq/vienība]</t>
  </si>
  <si>
    <t>[kWh/vienība]</t>
  </si>
  <si>
    <t>[dalīties]</t>
  </si>
  <si>
    <t>[Euro/t]</t>
  </si>
  <si>
    <t>Vispārīgi dati: Transports</t>
  </si>
  <si>
    <t>Vispārīgi dati: Uzglabāšana</t>
  </si>
  <si>
    <t># 1: LCA: Apstrāde</t>
  </si>
  <si>
    <t># 2: LCA: Iepakojums</t>
  </si>
  <si>
    <t># 3: LCA: Transports</t>
  </si>
  <si>
    <t># 4: LCA: Ūdens patēriņs</t>
  </si>
  <si>
    <t>#5: LCA: Enerģijas patēriņš</t>
  </si>
  <si>
    <t># 6: LCA: Transporta saldēšana (elektrība un degviela tikai saldēšanai)</t>
  </si>
  <si>
    <t># 7: LCA: Dzesēšanas šķidruma zudumi</t>
  </si>
  <si>
    <t>#8: LCA: Atkritumi</t>
  </si>
  <si>
    <t>LCA rezultāti: Kopīgā ietekme</t>
  </si>
  <si>
    <t>LCA rezultāti: Specifiskā ietekme</t>
  </si>
  <si>
    <t>Degvielas tips saldēšanai</t>
  </si>
  <si>
    <t>Zudumi</t>
  </si>
  <si>
    <t>Uzglabāšanas temperatūra</t>
  </si>
  <si>
    <t>Noliktavas izmantošana</t>
  </si>
  <si>
    <t>Saražotie produkti transportēšanai</t>
  </si>
  <si>
    <t>Atkritumu tips</t>
  </si>
  <si>
    <t>Eletktrība</t>
  </si>
  <si>
    <t>Citi enerģijas avoti</t>
  </si>
  <si>
    <t>Dzesētāja lietošana gadā</t>
  </si>
  <si>
    <t>Vienība</t>
  </si>
  <si>
    <t>Uzglabāšanas daudzums</t>
  </si>
  <si>
    <t>Kopā</t>
  </si>
  <si>
    <t>1.0</t>
  </si>
  <si>
    <t>Tool release</t>
  </si>
  <si>
    <t>ICCEE project</t>
  </si>
  <si>
    <t>#6: LCA: refrigerare în transporturi (electricitate și combustibil doar pentru refrigerare)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</si>
</sst>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quot;$&quot;* #,##0.00_);_(&quot;$&quot;* \(#,##0.00\);_(&quot;$&quot;* &quot;-&quot;??_);_(@_)"/>
    <numFmt numFmtId="165" formatCode="_(* #,##0.00_);_(* \(#,##0.00\);_(* &quot;-&quot;??_);_(@_)"/>
    <numFmt numFmtId="166" formatCode="0.0%"/>
    <numFmt numFmtId="167" formatCode="_(* #,##0.000_);_(* \(#,##0.000\);_(* &quot;-&quot;??_);_(@_)"/>
    <numFmt numFmtId="168" formatCode="0.0"/>
    <numFmt numFmtId="169" formatCode="#,##0.0"/>
    <numFmt numFmtId="170" formatCode="#,##0.000"/>
    <numFmt numFmtId="171" formatCode="0.0000"/>
    <numFmt numFmtId="172" formatCode="0.000"/>
    <numFmt numFmtId="173" formatCode="0.000000"/>
  </numFmts>
  <fonts count="49">
    <font>
      <sz val="11"/>
      <color theme="1"/>
      <name val="Calibri"/>
      <family val="2"/>
      <scheme val="minor"/>
    </font>
    <font>
      <sz val="11"/>
      <color rgb="FFFF0000"/>
      <name val="Calibri"/>
      <family val="2"/>
      <scheme val="minor"/>
    </font>
    <font>
      <sz val="11"/>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1"/>
      <color theme="0"/>
      <name val="Calibri"/>
      <family val="2"/>
      <scheme val="minor"/>
    </font>
    <font>
      <sz val="12"/>
      <color theme="1"/>
      <name val="Calibri"/>
      <family val="2"/>
      <scheme val="minor"/>
    </font>
    <font>
      <b/>
      <sz val="14"/>
      <color theme="0"/>
      <name val="Calibri"/>
      <family val="2"/>
      <scheme val="minor"/>
    </font>
    <font>
      <b/>
      <sz val="14"/>
      <color theme="4"/>
      <name val="Calibri"/>
      <family val="2"/>
      <scheme val="minor"/>
    </font>
    <font>
      <b/>
      <sz val="11"/>
      <color rgb="FFFF0000"/>
      <name val="Calibri"/>
      <family val="2"/>
      <scheme val="minor"/>
    </font>
    <font>
      <sz val="11"/>
      <color theme="0"/>
      <name val="Calibri"/>
      <family val="2"/>
      <scheme val="minor"/>
    </font>
    <font>
      <b/>
      <i/>
      <sz val="14"/>
      <color theme="4"/>
      <name val="Calibri"/>
      <family val="2"/>
      <scheme val="minor"/>
    </font>
    <font>
      <sz val="11"/>
      <color rgb="FF000000"/>
      <name val="Calibri"/>
      <family val="2"/>
    </font>
    <font>
      <sz val="10"/>
      <color theme="1"/>
      <name val="Calibri"/>
      <family val="2"/>
      <scheme val="minor"/>
    </font>
    <font>
      <sz val="11"/>
      <color indexed="8"/>
      <name val="Calibri"/>
      <family val="2"/>
    </font>
    <font>
      <i/>
      <sz val="11"/>
      <color theme="1"/>
      <name val="Calibri"/>
      <family val="2"/>
      <scheme val="minor"/>
    </font>
    <font>
      <b/>
      <i/>
      <sz val="11"/>
      <color theme="8" tint="-0.249977111117893"/>
      <name val="Calibri"/>
      <family val="2"/>
      <charset val="186"/>
      <scheme val="minor"/>
    </font>
    <font>
      <sz val="11"/>
      <color rgb="FFFF0000"/>
      <name val="Calibri"/>
      <family val="2"/>
    </font>
    <font>
      <sz val="11"/>
      <color indexed="18"/>
      <name val="Calibri"/>
      <family val="2"/>
    </font>
    <font>
      <sz val="11"/>
      <color indexed="9"/>
      <name val="Calibri"/>
      <family val="2"/>
    </font>
    <font>
      <sz val="11"/>
      <color indexed="62"/>
      <name val="Calibri"/>
      <family val="2"/>
    </font>
    <font>
      <b/>
      <sz val="11"/>
      <color indexed="8"/>
      <name val="Calibri"/>
      <family val="2"/>
    </font>
    <font>
      <b/>
      <sz val="11"/>
      <color indexed="9"/>
      <name val="Calibri"/>
      <family val="2"/>
    </font>
    <font>
      <sz val="11"/>
      <color indexed="53"/>
      <name val="Calibri"/>
      <family val="2"/>
    </font>
    <font>
      <sz val="11"/>
      <color indexed="36"/>
      <name val="Calibri"/>
      <family val="2"/>
    </font>
    <font>
      <sz val="10"/>
      <name val="Arial"/>
      <family val="2"/>
    </font>
    <font>
      <sz val="11"/>
      <name val="Calibri"/>
      <family val="2"/>
    </font>
    <font>
      <b/>
      <sz val="11"/>
      <color theme="1"/>
      <name val="Calibri"/>
      <family val="2"/>
      <charset val="186"/>
    </font>
    <font>
      <sz val="10"/>
      <color rgb="FF000000"/>
      <name val="Calibri"/>
      <family val="2"/>
      <scheme val="minor"/>
    </font>
    <font>
      <b/>
      <sz val="11"/>
      <name val="Calibri"/>
      <family val="2"/>
    </font>
    <font>
      <b/>
      <sz val="11"/>
      <name val="Calibri"/>
      <family val="2"/>
      <charset val="186"/>
    </font>
    <font>
      <b/>
      <sz val="11"/>
      <color indexed="8"/>
      <name val="Calibri"/>
      <family val="2"/>
      <charset val="186"/>
    </font>
    <font>
      <sz val="11"/>
      <color rgb="FF00B050"/>
      <name val="Calibri"/>
      <family val="2"/>
    </font>
    <font>
      <sz val="11"/>
      <color theme="1"/>
      <name val="Calibri"/>
      <family val="2"/>
    </font>
    <font>
      <b/>
      <sz val="11"/>
      <color theme="0"/>
      <name val="Calibri"/>
      <family val="2"/>
      <charset val="186"/>
      <scheme val="minor"/>
    </font>
    <font>
      <b/>
      <sz val="11"/>
      <color rgb="FF00B050"/>
      <name val="Calibri"/>
      <family val="2"/>
    </font>
    <font>
      <b/>
      <sz val="11"/>
      <color indexed="18"/>
      <name val="Calibri"/>
      <family val="2"/>
      <charset val="186"/>
    </font>
    <font>
      <b/>
      <sz val="14"/>
      <color theme="0"/>
      <name val="Calibri"/>
      <family val="2"/>
      <charset val="186"/>
      <scheme val="minor"/>
    </font>
    <font>
      <sz val="14"/>
      <color theme="1"/>
      <name val="Calibri"/>
      <family val="2"/>
      <scheme val="minor"/>
    </font>
    <font>
      <vertAlign val="subscript"/>
      <sz val="11"/>
      <name val="Calibri"/>
      <family val="2"/>
    </font>
    <font>
      <sz val="11"/>
      <color theme="8"/>
      <name val="Calibri"/>
      <family val="2"/>
      <scheme val="minor"/>
    </font>
    <font>
      <sz val="11"/>
      <color theme="8" tint="-0.249977111117893"/>
      <name val="Calibri"/>
      <family val="2"/>
      <scheme val="minor"/>
    </font>
    <font>
      <b/>
      <sz val="11"/>
      <color theme="1"/>
      <name val="Calibri"/>
      <family val="2"/>
      <charset val="186"/>
      <scheme val="minor"/>
    </font>
    <font>
      <vertAlign val="superscript"/>
      <sz val="11"/>
      <color theme="1"/>
      <name val="Calibri"/>
      <family val="2"/>
      <charset val="238"/>
      <scheme val="minor"/>
    </font>
    <font>
      <sz val="11"/>
      <color theme="7" tint="0.39997558519241921"/>
      <name val="Calibri (Corpo)"/>
    </font>
    <font>
      <vertAlign val="superscript"/>
      <sz val="11"/>
      <name val="Calibri (Corpo)"/>
    </font>
    <font>
      <sz val="11"/>
      <color theme="1"/>
      <name val="Calibri (Corpo)"/>
    </font>
    <font>
      <sz val="11"/>
      <name val="Calibri (Corpo)"/>
    </font>
  </fonts>
  <fills count="2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39997558519241921"/>
        <bgColor indexed="65"/>
      </patternFill>
    </fill>
    <fill>
      <patternFill patternType="solid">
        <fgColor indexed="9"/>
        <bgColor indexed="64"/>
      </patternFill>
    </fill>
    <fill>
      <patternFill patternType="solid">
        <fgColor theme="0"/>
        <bgColor rgb="FF000000"/>
      </patternFill>
    </fill>
    <fill>
      <patternFill patternType="solid">
        <fgColor theme="0"/>
        <bgColor rgb="FFFFFF99"/>
      </patternFill>
    </fill>
    <fill>
      <patternFill patternType="solid">
        <fgColor theme="0"/>
        <bgColor rgb="FF4EE257"/>
      </patternFill>
    </fill>
    <fill>
      <patternFill patternType="solid">
        <fgColor theme="0"/>
        <bgColor rgb="FFFFF58C"/>
      </patternFill>
    </fill>
    <fill>
      <patternFill patternType="solid">
        <fgColor theme="0"/>
        <bgColor indexed="34"/>
      </patternFill>
    </fill>
    <fill>
      <patternFill patternType="solid">
        <fgColor theme="0"/>
        <bgColor rgb="FFC0C0C0"/>
      </patternFill>
    </fill>
    <fill>
      <patternFill patternType="solid">
        <fgColor theme="0"/>
        <bgColor rgb="FFFFCC00"/>
      </patternFill>
    </fill>
    <fill>
      <patternFill patternType="solid">
        <fgColor theme="0" tint="-4.9989318521683403E-2"/>
        <bgColor rgb="FF000000"/>
      </patternFill>
    </fill>
    <fill>
      <patternFill patternType="solid">
        <fgColor theme="0" tint="-4.9989318521683403E-2"/>
        <bgColor rgb="FFFFF58C"/>
      </patternFill>
    </fill>
    <fill>
      <patternFill patternType="solid">
        <fgColor theme="0" tint="-4.9989318521683403E-2"/>
        <bgColor rgb="FFFFFF99"/>
      </patternFill>
    </fill>
    <fill>
      <patternFill patternType="solid">
        <fgColor theme="9" tint="0.59999389629810485"/>
        <bgColor indexed="65"/>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24994659260841701"/>
        <bgColor indexed="64"/>
      </patternFill>
    </fill>
  </fills>
  <borders count="8">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13">
    <xf numFmtId="0" fontId="0" fillId="0" borderId="0"/>
    <xf numFmtId="0" fontId="7" fillId="0" borderId="0"/>
    <xf numFmtId="9" fontId="7" fillId="0" borderId="0" applyFont="0" applyFill="0" applyBorder="0" applyAlignment="0" applyProtection="0"/>
    <xf numFmtId="9" fontId="5" fillId="0" borderId="0" applyFont="0" applyFill="0" applyBorder="0" applyAlignment="0" applyProtection="0"/>
    <xf numFmtId="0" fontId="13" fillId="0" borderId="0"/>
    <xf numFmtId="0" fontId="11" fillId="8" borderId="0" applyNumberFormat="0" applyBorder="0" applyAlignment="0" applyProtection="0"/>
    <xf numFmtId="9" fontId="1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26" fillId="0" borderId="0"/>
    <xf numFmtId="0" fontId="5" fillId="20" borderId="0" applyNumberFormat="0" applyBorder="0" applyAlignment="0" applyProtection="0"/>
    <xf numFmtId="43" fontId="5" fillId="0" borderId="0" applyFont="0" applyFill="0" applyBorder="0" applyAlignment="0" applyProtection="0"/>
  </cellStyleXfs>
  <cellXfs count="508">
    <xf numFmtId="0" fontId="0" fillId="0" borderId="0" xfId="0"/>
    <xf numFmtId="0" fontId="8" fillId="2" borderId="0" xfId="1" applyFont="1" applyFill="1" applyAlignment="1">
      <alignment vertical="top"/>
    </xf>
    <xf numFmtId="0" fontId="5" fillId="2" borderId="0" xfId="1" applyFont="1" applyFill="1" applyAlignment="1">
      <alignment vertical="top"/>
    </xf>
    <xf numFmtId="0" fontId="5" fillId="3" borderId="0" xfId="1" applyFont="1" applyFill="1" applyAlignment="1">
      <alignment vertical="top"/>
    </xf>
    <xf numFmtId="0" fontId="9" fillId="3" borderId="1" xfId="1" applyFont="1" applyFill="1" applyBorder="1" applyAlignment="1">
      <alignment vertical="top"/>
    </xf>
    <xf numFmtId="0" fontId="5" fillId="3" borderId="1" xfId="1" applyFont="1" applyFill="1" applyBorder="1" applyAlignment="1">
      <alignment vertical="top"/>
    </xf>
    <xf numFmtId="0" fontId="8" fillId="2" borderId="0" xfId="1" applyFont="1" applyFill="1" applyAlignment="1"/>
    <xf numFmtId="0" fontId="5" fillId="2" borderId="0" xfId="1" applyFont="1" applyFill="1" applyAlignment="1"/>
    <xf numFmtId="0" fontId="5" fillId="3" borderId="0" xfId="1" applyFont="1" applyFill="1" applyAlignment="1"/>
    <xf numFmtId="0" fontId="5" fillId="3" borderId="1" xfId="1" applyFont="1" applyFill="1" applyBorder="1" applyAlignment="1"/>
    <xf numFmtId="0" fontId="6" fillId="2" borderId="0" xfId="1" applyFont="1" applyFill="1" applyBorder="1" applyAlignment="1">
      <alignment horizontal="left" vertical="top"/>
    </xf>
    <xf numFmtId="0" fontId="5" fillId="3" borderId="0" xfId="1" applyFont="1" applyFill="1" applyAlignment="1">
      <alignment vertical="top" wrapText="1"/>
    </xf>
    <xf numFmtId="0" fontId="7" fillId="3" borderId="0" xfId="1" applyFill="1" applyBorder="1" applyAlignment="1">
      <alignment vertical="top" wrapText="1"/>
    </xf>
    <xf numFmtId="14" fontId="7" fillId="3" borderId="0" xfId="1" applyNumberFormat="1" applyFill="1" applyBorder="1" applyAlignment="1">
      <alignment horizontal="left" vertical="top"/>
    </xf>
    <xf numFmtId="0" fontId="3" fillId="3" borderId="0" xfId="0" applyFont="1" applyFill="1" applyAlignment="1">
      <alignment vertical="top"/>
    </xf>
    <xf numFmtId="0" fontId="5" fillId="3" borderId="0" xfId="0" applyFont="1" applyFill="1" applyAlignment="1">
      <alignment vertical="top"/>
    </xf>
    <xf numFmtId="0" fontId="3" fillId="3" borderId="0" xfId="1" applyFont="1" applyFill="1" applyAlignment="1">
      <alignment vertical="top"/>
    </xf>
    <xf numFmtId="0" fontId="5" fillId="3" borderId="0" xfId="0" applyFont="1" applyFill="1" applyBorder="1" applyAlignment="1">
      <alignment vertical="top" wrapText="1"/>
    </xf>
    <xf numFmtId="0" fontId="5" fillId="3" borderId="0" xfId="1" applyFont="1" applyFill="1" applyAlignment="1">
      <alignment vertical="center"/>
    </xf>
    <xf numFmtId="0" fontId="1" fillId="3" borderId="0" xfId="1" applyFont="1" applyFill="1" applyAlignment="1">
      <alignment vertical="center"/>
    </xf>
    <xf numFmtId="0" fontId="5" fillId="3" borderId="1" xfId="1" applyFont="1" applyFill="1" applyBorder="1" applyAlignment="1">
      <alignment vertical="center"/>
    </xf>
    <xf numFmtId="0" fontId="9" fillId="3" borderId="1" xfId="1" applyFont="1" applyFill="1" applyBorder="1" applyAlignment="1">
      <alignment vertical="center"/>
    </xf>
    <xf numFmtId="0" fontId="5" fillId="2" borderId="0" xfId="1" applyFont="1" applyFill="1" applyAlignment="1">
      <alignment vertical="center"/>
    </xf>
    <xf numFmtId="0" fontId="5" fillId="3" borderId="0" xfId="1" applyFont="1" applyFill="1"/>
    <xf numFmtId="0" fontId="5" fillId="3" borderId="0" xfId="1" quotePrefix="1" applyFont="1" applyFill="1" applyAlignment="1">
      <alignment vertical="center"/>
    </xf>
    <xf numFmtId="0" fontId="0" fillId="3" borderId="0" xfId="0" applyFill="1" applyBorder="1"/>
    <xf numFmtId="0" fontId="0" fillId="3" borderId="0" xfId="0" applyFill="1"/>
    <xf numFmtId="0" fontId="2" fillId="3" borderId="0" xfId="0" applyFont="1" applyFill="1" applyBorder="1" applyAlignment="1">
      <alignment horizontal="center"/>
    </xf>
    <xf numFmtId="0" fontId="1" fillId="3" borderId="0" xfId="0" applyFont="1" applyFill="1"/>
    <xf numFmtId="0" fontId="5" fillId="3" borderId="0" xfId="1" applyFont="1" applyFill="1" applyBorder="1" applyAlignment="1">
      <alignment horizontal="left" vertical="top" wrapText="1"/>
    </xf>
    <xf numFmtId="0" fontId="0" fillId="3" borderId="0" xfId="1" applyFont="1" applyFill="1" applyAlignment="1">
      <alignment vertical="top"/>
    </xf>
    <xf numFmtId="0" fontId="2" fillId="3" borderId="0" xfId="0" applyFont="1" applyFill="1" applyBorder="1"/>
    <xf numFmtId="0" fontId="10" fillId="3" borderId="0" xfId="0" applyFont="1" applyFill="1" applyAlignment="1">
      <alignment vertical="top"/>
    </xf>
    <xf numFmtId="0" fontId="4" fillId="3" borderId="0" xfId="0" applyFont="1" applyFill="1" applyAlignment="1">
      <alignment vertical="top"/>
    </xf>
    <xf numFmtId="0" fontId="1" fillId="3" borderId="0" xfId="1" applyFont="1" applyFill="1" applyAlignment="1">
      <alignment horizontal="left" vertical="top" wrapText="1"/>
    </xf>
    <xf numFmtId="0" fontId="6" fillId="2" borderId="0" xfId="1" applyFont="1" applyFill="1" applyBorder="1" applyAlignment="1">
      <alignment horizontal="left" vertical="top" wrapText="1"/>
    </xf>
    <xf numFmtId="2" fontId="5" fillId="3" borderId="0" xfId="0" applyNumberFormat="1" applyFont="1" applyFill="1" applyBorder="1" applyAlignment="1">
      <alignment horizontal="left" vertical="top" wrapText="1"/>
    </xf>
    <xf numFmtId="2" fontId="5" fillId="7" borderId="0" xfId="0" applyNumberFormat="1" applyFont="1" applyFill="1" applyBorder="1" applyAlignment="1">
      <alignment horizontal="left" vertical="top" wrapText="1"/>
    </xf>
    <xf numFmtId="2" fontId="0" fillId="7" borderId="0" xfId="0" applyNumberFormat="1" applyFont="1" applyFill="1" applyBorder="1" applyAlignment="1">
      <alignment horizontal="left" vertical="top" wrapText="1"/>
    </xf>
    <xf numFmtId="2" fontId="0" fillId="3" borderId="0" xfId="0" applyNumberFormat="1" applyFont="1" applyFill="1" applyBorder="1" applyAlignment="1">
      <alignment horizontal="left" vertical="top" wrapText="1"/>
    </xf>
    <xf numFmtId="2" fontId="0" fillId="3" borderId="0" xfId="1" applyNumberFormat="1" applyFont="1" applyFill="1" applyBorder="1" applyAlignment="1">
      <alignment horizontal="left" vertical="top" wrapText="1"/>
    </xf>
    <xf numFmtId="0" fontId="2" fillId="3" borderId="0" xfId="0" applyFont="1" applyFill="1"/>
    <xf numFmtId="0" fontId="18" fillId="3" borderId="0" xfId="0" applyFont="1" applyFill="1" applyBorder="1" applyAlignment="1" applyProtection="1">
      <alignment horizontal="center" vertical="center"/>
    </xf>
    <xf numFmtId="0" fontId="19" fillId="3" borderId="0" xfId="0" applyFont="1" applyFill="1" applyBorder="1" applyAlignment="1" applyProtection="1">
      <alignment horizontal="center" vertical="center" wrapText="1"/>
    </xf>
    <xf numFmtId="2" fontId="11" fillId="3" borderId="0" xfId="0" applyNumberFormat="1" applyFont="1" applyFill="1" applyBorder="1" applyAlignment="1" applyProtection="1">
      <alignment horizontal="center" vertical="center"/>
    </xf>
    <xf numFmtId="0" fontId="19" fillId="3" borderId="0" xfId="0" applyFont="1" applyFill="1" applyBorder="1" applyProtection="1"/>
    <xf numFmtId="0" fontId="20" fillId="3" borderId="0" xfId="0" applyFont="1" applyFill="1" applyBorder="1" applyAlignment="1" applyProtection="1">
      <alignment horizontal="center" vertical="center"/>
    </xf>
    <xf numFmtId="0" fontId="21" fillId="9" borderId="0" xfId="0" applyFont="1" applyFill="1" applyBorder="1" applyAlignment="1" applyProtection="1">
      <alignment horizontal="left" vertical="center"/>
    </xf>
    <xf numFmtId="0" fontId="19" fillId="3" borderId="0" xfId="0" applyFont="1" applyFill="1" applyBorder="1" applyAlignment="1" applyProtection="1">
      <alignment horizontal="center" vertical="center"/>
    </xf>
    <xf numFmtId="0" fontId="19" fillId="3" borderId="0" xfId="0" applyFont="1" applyFill="1" applyBorder="1" applyAlignment="1" applyProtection="1">
      <alignment horizontal="center"/>
    </xf>
    <xf numFmtId="0" fontId="22" fillId="3" borderId="0" xfId="0"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3" fillId="3" borderId="0" xfId="0" applyFont="1" applyFill="1" applyBorder="1" applyAlignment="1" applyProtection="1">
      <alignment horizontal="center" vertical="center"/>
    </xf>
    <xf numFmtId="3" fontId="23" fillId="3" borderId="0" xfId="0" applyNumberFormat="1" applyFont="1" applyFill="1" applyBorder="1" applyAlignment="1" applyProtection="1">
      <alignment horizontal="center" vertical="center"/>
    </xf>
    <xf numFmtId="0" fontId="23" fillId="3" borderId="0" xfId="0" applyFont="1" applyFill="1" applyBorder="1" applyAlignment="1" applyProtection="1">
      <alignment horizontal="center" vertical="center" wrapText="1"/>
    </xf>
    <xf numFmtId="0" fontId="24" fillId="3" borderId="0" xfId="0" applyFont="1" applyFill="1" applyBorder="1" applyProtection="1"/>
    <xf numFmtId="0" fontId="25" fillId="3" borderId="0" xfId="0" applyFont="1" applyFill="1" applyBorder="1" applyAlignment="1" applyProtection="1">
      <alignment horizontal="left" vertical="center"/>
    </xf>
    <xf numFmtId="0" fontId="24" fillId="3" borderId="0" xfId="0" applyFont="1" applyFill="1" applyBorder="1" applyAlignment="1" applyProtection="1">
      <alignment horizontal="center" vertical="center"/>
    </xf>
    <xf numFmtId="0" fontId="24" fillId="3" borderId="0" xfId="0" applyFont="1" applyFill="1" applyBorder="1" applyAlignment="1" applyProtection="1">
      <alignment horizontal="center" vertical="center" wrapText="1"/>
    </xf>
    <xf numFmtId="0" fontId="24" fillId="9" borderId="0" xfId="0" applyFont="1" applyFill="1" applyBorder="1" applyAlignment="1" applyProtection="1">
      <alignment horizontal="center" vertical="center"/>
    </xf>
    <xf numFmtId="0" fontId="24" fillId="9" borderId="0" xfId="0" applyFont="1" applyFill="1" applyBorder="1" applyAlignment="1" applyProtection="1">
      <alignment horizontal="center" vertical="center" wrapText="1"/>
    </xf>
    <xf numFmtId="0" fontId="25" fillId="9" borderId="0" xfId="0" applyFont="1" applyFill="1" applyBorder="1" applyAlignment="1" applyProtection="1">
      <alignment horizontal="left" vertical="center"/>
    </xf>
    <xf numFmtId="2" fontId="15" fillId="3" borderId="0" xfId="0" applyNumberFormat="1" applyFont="1" applyFill="1" applyBorder="1" applyAlignment="1" applyProtection="1">
      <alignment horizontal="center" vertical="center"/>
    </xf>
    <xf numFmtId="0" fontId="19" fillId="9" borderId="0"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wrapText="1"/>
    </xf>
    <xf numFmtId="0" fontId="29" fillId="10" borderId="0" xfId="0" applyFont="1" applyFill="1"/>
    <xf numFmtId="0" fontId="1" fillId="3" borderId="0" xfId="0" applyFont="1" applyFill="1" applyBorder="1"/>
    <xf numFmtId="0" fontId="2" fillId="2" borderId="0" xfId="1" applyFont="1" applyFill="1" applyAlignment="1">
      <alignment vertical="top"/>
    </xf>
    <xf numFmtId="0" fontId="5" fillId="3" borderId="0" xfId="1" applyFont="1" applyFill="1" applyBorder="1" applyAlignment="1">
      <alignment vertical="top"/>
    </xf>
    <xf numFmtId="0" fontId="3" fillId="4" borderId="0" xfId="0" applyFont="1" applyFill="1" applyAlignment="1">
      <alignment vertical="top"/>
    </xf>
    <xf numFmtId="0" fontId="5" fillId="4" borderId="0" xfId="0" applyFont="1" applyFill="1" applyAlignment="1">
      <alignment vertical="top"/>
    </xf>
    <xf numFmtId="0" fontId="0" fillId="3" borderId="0" xfId="0" applyFont="1" applyFill="1" applyAlignment="1">
      <alignment vertical="top"/>
    </xf>
    <xf numFmtId="0" fontId="30" fillId="3" borderId="0" xfId="0" applyFont="1" applyFill="1" applyBorder="1" applyAlignment="1" applyProtection="1">
      <alignment horizontal="center" vertical="top" wrapText="1"/>
    </xf>
    <xf numFmtId="0" fontId="23" fillId="3" borderId="0" xfId="0" applyFont="1" applyFill="1" applyBorder="1" applyAlignment="1" applyProtection="1">
      <alignment horizontal="center" vertical="top"/>
    </xf>
    <xf numFmtId="0" fontId="27" fillId="3" borderId="0" xfId="0" quotePrefix="1" applyFont="1" applyFill="1" applyBorder="1" applyAlignment="1" applyProtection="1">
      <alignment horizontal="center" vertical="top"/>
    </xf>
    <xf numFmtId="0" fontId="33" fillId="3" borderId="0" xfId="0" applyFont="1" applyFill="1" applyBorder="1" applyAlignment="1" applyProtection="1">
      <alignment horizontal="center" vertical="top" wrapText="1"/>
    </xf>
    <xf numFmtId="0" fontId="33" fillId="9" borderId="0" xfId="0" applyFont="1" applyFill="1" applyBorder="1" applyAlignment="1" applyProtection="1">
      <alignment horizontal="center" vertical="top"/>
    </xf>
    <xf numFmtId="0" fontId="33" fillId="3" borderId="0" xfId="0" applyFont="1" applyFill="1" applyBorder="1" applyAlignment="1" applyProtection="1">
      <alignment horizontal="center" vertical="top"/>
    </xf>
    <xf numFmtId="0" fontId="5" fillId="3" borderId="0" xfId="0" applyFont="1" applyFill="1" applyBorder="1" applyAlignment="1">
      <alignment horizontal="center" vertical="top"/>
    </xf>
    <xf numFmtId="2" fontId="15" fillId="3" borderId="0" xfId="0" applyNumberFormat="1" applyFont="1" applyFill="1" applyBorder="1" applyAlignment="1" applyProtection="1">
      <alignment horizontal="center" vertical="top"/>
    </xf>
    <xf numFmtId="0" fontId="5" fillId="9" borderId="0" xfId="0" applyFont="1" applyFill="1" applyBorder="1" applyAlignment="1" applyProtection="1">
      <alignment horizontal="center" vertical="top"/>
    </xf>
    <xf numFmtId="0" fontId="2" fillId="3" borderId="0" xfId="1" applyFont="1" applyFill="1" applyAlignment="1">
      <alignment vertical="top"/>
    </xf>
    <xf numFmtId="0" fontId="27" fillId="3" borderId="0" xfId="0" applyFont="1" applyFill="1" applyBorder="1" applyAlignment="1" applyProtection="1">
      <alignment horizontal="center" vertical="top" wrapText="1"/>
    </xf>
    <xf numFmtId="0" fontId="27" fillId="9" borderId="0" xfId="0" applyFont="1" applyFill="1" applyBorder="1" applyAlignment="1" applyProtection="1">
      <alignment horizontal="center" vertical="top" wrapText="1"/>
    </xf>
    <xf numFmtId="0" fontId="27" fillId="9" borderId="0" xfId="0" applyFont="1" applyFill="1" applyBorder="1" applyAlignment="1" applyProtection="1">
      <alignment horizontal="left" vertical="top" wrapText="1"/>
    </xf>
    <xf numFmtId="0" fontId="30" fillId="9" borderId="0" xfId="0" applyFont="1" applyFill="1" applyBorder="1" applyAlignment="1" applyProtection="1">
      <alignment vertical="top" wrapText="1"/>
    </xf>
    <xf numFmtId="0" fontId="27" fillId="9" borderId="0" xfId="0" applyFont="1" applyFill="1" applyBorder="1" applyAlignment="1" applyProtection="1">
      <alignment horizontal="left" vertical="top"/>
    </xf>
    <xf numFmtId="0" fontId="2" fillId="9" borderId="0" xfId="0" applyFont="1" applyFill="1" applyBorder="1" applyAlignment="1" applyProtection="1">
      <alignment horizontal="center" vertical="top"/>
    </xf>
    <xf numFmtId="0" fontId="27" fillId="3" borderId="0" xfId="0" applyFont="1" applyFill="1" applyBorder="1" applyAlignment="1" applyProtection="1">
      <alignment horizontal="center" vertical="top"/>
    </xf>
    <xf numFmtId="0" fontId="27" fillId="9" borderId="0" xfId="0" applyFont="1" applyFill="1" applyBorder="1" applyAlignment="1" applyProtection="1">
      <alignment horizontal="center" vertical="center" wrapText="1"/>
    </xf>
    <xf numFmtId="0" fontId="5" fillId="3" borderId="0" xfId="0" applyFont="1" applyFill="1" applyAlignment="1">
      <alignment vertical="center"/>
    </xf>
    <xf numFmtId="0" fontId="0" fillId="3" borderId="0" xfId="0" applyFont="1" applyFill="1" applyBorder="1" applyAlignment="1">
      <alignment horizontal="center" vertical="top"/>
    </xf>
    <xf numFmtId="0" fontId="5" fillId="3" borderId="0" xfId="0" applyFont="1" applyFill="1"/>
    <xf numFmtId="0" fontId="5" fillId="3" borderId="0" xfId="0" applyFont="1" applyFill="1" applyBorder="1"/>
    <xf numFmtId="0" fontId="5" fillId="0" borderId="0" xfId="0" applyFont="1"/>
    <xf numFmtId="0" fontId="23" fillId="3" borderId="0" xfId="0" applyFont="1" applyFill="1" applyBorder="1" applyAlignment="1" applyProtection="1">
      <alignment vertical="center"/>
    </xf>
    <xf numFmtId="0" fontId="22" fillId="3" borderId="0" xfId="0" applyFont="1" applyFill="1" applyBorder="1" applyAlignment="1" applyProtection="1">
      <alignment horizontal="left"/>
    </xf>
    <xf numFmtId="0" fontId="1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9" borderId="0" xfId="0" applyFont="1" applyFill="1" applyBorder="1" applyAlignment="1" applyProtection="1">
      <alignment horizontal="left" vertical="center"/>
    </xf>
    <xf numFmtId="0" fontId="5" fillId="9" borderId="0" xfId="0" applyFont="1" applyFill="1" applyBorder="1" applyAlignment="1" applyProtection="1">
      <alignment horizontal="center" vertical="center" wrapText="1"/>
    </xf>
    <xf numFmtId="0" fontId="24" fillId="9" borderId="0" xfId="0" applyFont="1" applyFill="1" applyBorder="1" applyAlignment="1" applyProtection="1">
      <alignment horizontal="left" vertical="center"/>
    </xf>
    <xf numFmtId="0" fontId="22" fillId="3" borderId="0" xfId="0" applyFont="1" applyFill="1" applyBorder="1" applyAlignment="1" applyProtection="1">
      <alignment horizontal="center" vertical="center" wrapText="1"/>
    </xf>
    <xf numFmtId="0" fontId="36" fillId="3" borderId="0" xfId="0" applyFont="1" applyFill="1" applyBorder="1" applyAlignment="1" applyProtection="1">
      <alignment horizontal="center" vertical="center" wrapText="1"/>
    </xf>
    <xf numFmtId="4" fontId="22" fillId="3" borderId="0" xfId="0" applyNumberFormat="1" applyFont="1" applyFill="1" applyBorder="1" applyAlignment="1" applyProtection="1">
      <alignment horizontal="center" vertical="center"/>
    </xf>
    <xf numFmtId="4" fontId="15" fillId="9" borderId="0" xfId="0" applyNumberFormat="1" applyFont="1" applyFill="1" applyBorder="1" applyAlignment="1" applyProtection="1">
      <alignment horizontal="center" vertical="center"/>
    </xf>
    <xf numFmtId="0" fontId="24"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wrapText="1"/>
      <protection locked="0"/>
    </xf>
    <xf numFmtId="3" fontId="5" fillId="3" borderId="0" xfId="0" applyNumberFormat="1" applyFont="1" applyFill="1" applyBorder="1" applyAlignment="1" applyProtection="1">
      <alignment horizontal="center" vertical="center"/>
    </xf>
    <xf numFmtId="171" fontId="15" fillId="3" borderId="0" xfId="0" applyNumberFormat="1"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4" fontId="15" fillId="3" borderId="0" xfId="0" applyNumberFormat="1" applyFont="1" applyFill="1" applyBorder="1" applyAlignment="1" applyProtection="1">
      <alignment horizontal="center" vertical="center"/>
    </xf>
    <xf numFmtId="2" fontId="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wrapText="1"/>
    </xf>
    <xf numFmtId="0" fontId="35" fillId="3" borderId="0" xfId="5" applyFont="1" applyFill="1" applyBorder="1" applyAlignment="1">
      <alignment vertical="center" textRotation="90"/>
    </xf>
    <xf numFmtId="169" fontId="37" fillId="3" borderId="0" xfId="0" applyNumberFormat="1" applyFont="1" applyFill="1" applyBorder="1" applyAlignment="1" applyProtection="1">
      <alignment horizontal="center" vertical="center" wrapText="1"/>
    </xf>
    <xf numFmtId="0" fontId="19" fillId="3" borderId="0" xfId="0" applyFont="1" applyFill="1" applyBorder="1" applyAlignment="1" applyProtection="1">
      <alignment horizontal="left" vertical="center"/>
    </xf>
    <xf numFmtId="0" fontId="23" fillId="3" borderId="0" xfId="0" applyFont="1" applyFill="1" applyBorder="1" applyAlignment="1" applyProtection="1">
      <alignment horizontal="left" vertical="center"/>
    </xf>
    <xf numFmtId="4" fontId="20" fillId="3" borderId="0" xfId="0" applyNumberFormat="1" applyFont="1" applyFill="1" applyBorder="1" applyAlignment="1" applyProtection="1">
      <alignment horizontal="center" vertical="center"/>
    </xf>
    <xf numFmtId="1" fontId="19" fillId="3" borderId="0" xfId="0" applyNumberFormat="1" applyFont="1" applyFill="1" applyBorder="1" applyAlignment="1" applyProtection="1">
      <alignment horizontal="center" vertical="center"/>
    </xf>
    <xf numFmtId="0" fontId="5" fillId="3" borderId="0" xfId="0" applyFont="1" applyFill="1" applyBorder="1" applyAlignment="1" applyProtection="1">
      <alignment horizontal="left"/>
    </xf>
    <xf numFmtId="168" fontId="15" fillId="3" borderId="0" xfId="6" applyNumberFormat="1" applyFont="1" applyFill="1" applyBorder="1" applyAlignment="1" applyProtection="1">
      <alignment horizontal="center" vertical="center"/>
    </xf>
    <xf numFmtId="0" fontId="5" fillId="3" borderId="0" xfId="0" applyFont="1" applyFill="1" applyAlignment="1">
      <alignment horizontal="center"/>
    </xf>
    <xf numFmtId="2" fontId="23" fillId="3" borderId="0" xfId="0" applyNumberFormat="1" applyFont="1" applyFill="1" applyBorder="1" applyAlignment="1" applyProtection="1">
      <alignment horizontal="center" vertical="center"/>
    </xf>
    <xf numFmtId="4" fontId="23" fillId="3" borderId="0" xfId="0" applyNumberFormat="1" applyFont="1" applyFill="1" applyBorder="1" applyAlignment="1" applyProtection="1">
      <alignment horizontal="center" vertical="center"/>
    </xf>
    <xf numFmtId="0" fontId="5" fillId="3" borderId="0" xfId="0" applyFont="1" applyFill="1" applyBorder="1" applyProtection="1"/>
    <xf numFmtId="168" fontId="15" fillId="3" borderId="0" xfId="0" applyNumberFormat="1"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4" fontId="19" fillId="3" borderId="0" xfId="0" applyNumberFormat="1" applyFont="1" applyFill="1" applyBorder="1" applyAlignment="1" applyProtection="1">
      <alignment horizontal="center" vertical="center"/>
    </xf>
    <xf numFmtId="0" fontId="5" fillId="3" borderId="0" xfId="0" applyFont="1" applyFill="1" applyBorder="1" applyAlignment="1" applyProtection="1">
      <alignment horizontal="center"/>
    </xf>
    <xf numFmtId="0" fontId="23" fillId="3" borderId="0" xfId="0" applyFont="1" applyFill="1" applyBorder="1" applyProtection="1"/>
    <xf numFmtId="0" fontId="38" fillId="3" borderId="0" xfId="5" applyFont="1" applyFill="1" applyBorder="1" applyAlignment="1"/>
    <xf numFmtId="0" fontId="35" fillId="3" borderId="0" xfId="5" applyFont="1" applyFill="1" applyBorder="1" applyAlignment="1"/>
    <xf numFmtId="0" fontId="28" fillId="3" borderId="0" xfId="0" applyFont="1" applyFill="1" applyBorder="1" applyAlignment="1">
      <alignment horizontal="left" vertical="center"/>
    </xf>
    <xf numFmtId="0" fontId="34" fillId="3" borderId="0" xfId="0" applyFont="1" applyFill="1" applyBorder="1" applyAlignment="1">
      <alignment horizontal="left" vertical="center"/>
    </xf>
    <xf numFmtId="0" fontId="39" fillId="3" borderId="0" xfId="0" applyFont="1" applyFill="1"/>
    <xf numFmtId="0" fontId="39" fillId="3" borderId="0" xfId="0" applyFont="1" applyFill="1" applyBorder="1"/>
    <xf numFmtId="0" fontId="27" fillId="9" borderId="0" xfId="0" applyFont="1" applyFill="1" applyBorder="1" applyAlignment="1" applyProtection="1">
      <alignment horizontal="left" vertical="center"/>
    </xf>
    <xf numFmtId="0" fontId="0" fillId="3" borderId="0" xfId="0" applyFont="1" applyFill="1" applyBorder="1" applyAlignment="1">
      <alignment horizontal="center" wrapText="1"/>
    </xf>
    <xf numFmtId="0" fontId="2" fillId="3" borderId="0" xfId="0" applyFont="1" applyFill="1" applyBorder="1" applyAlignment="1">
      <alignment horizontal="center" wrapText="1"/>
    </xf>
    <xf numFmtId="0" fontId="27" fillId="9" borderId="0" xfId="0" applyFont="1" applyFill="1" applyBorder="1" applyAlignment="1" applyProtection="1">
      <alignment horizontal="center" vertical="center"/>
    </xf>
    <xf numFmtId="0" fontId="27" fillId="3" borderId="0" xfId="0" applyFont="1" applyFill="1" applyBorder="1" applyAlignment="1" applyProtection="1">
      <alignment horizontal="center" vertical="center"/>
    </xf>
    <xf numFmtId="0" fontId="0" fillId="3" borderId="0" xfId="0" applyFont="1" applyFill="1" applyBorder="1"/>
    <xf numFmtId="0" fontId="0" fillId="3" borderId="0" xfId="0" applyFont="1" applyFill="1" applyAlignment="1">
      <alignment vertical="center"/>
    </xf>
    <xf numFmtId="0" fontId="0" fillId="3" borderId="0" xfId="0" applyFont="1" applyFill="1" applyBorder="1" applyAlignment="1" applyProtection="1">
      <alignment horizontal="center" vertical="center"/>
    </xf>
    <xf numFmtId="0" fontId="0" fillId="3" borderId="0" xfId="0" applyFont="1" applyFill="1" applyBorder="1" applyAlignment="1">
      <alignment horizontal="center"/>
    </xf>
    <xf numFmtId="0" fontId="0" fillId="3" borderId="0" xfId="0" applyFont="1" applyFill="1"/>
    <xf numFmtId="0" fontId="0" fillId="3" borderId="0" xfId="0" applyFont="1" applyFill="1" applyAlignment="1">
      <alignment horizontal="center"/>
    </xf>
    <xf numFmtId="0" fontId="1" fillId="3" borderId="0" xfId="0" quotePrefix="1" applyFont="1" applyFill="1"/>
    <xf numFmtId="0" fontId="27" fillId="3" borderId="0" xfId="0" applyFont="1" applyFill="1" applyBorder="1" applyAlignment="1" applyProtection="1">
      <alignment horizontal="left" vertical="center"/>
    </xf>
    <xf numFmtId="0" fontId="30" fillId="3" borderId="0" xfId="0" applyFont="1" applyFill="1" applyBorder="1" applyAlignment="1" applyProtection="1">
      <alignment horizontal="left"/>
    </xf>
    <xf numFmtId="0" fontId="2" fillId="9" borderId="0" xfId="0" applyFont="1" applyFill="1" applyBorder="1" applyAlignment="1" applyProtection="1">
      <alignment horizontal="left" vertical="center"/>
    </xf>
    <xf numFmtId="0" fontId="2" fillId="9" borderId="0" xfId="0" applyFont="1" applyFill="1" applyBorder="1" applyAlignment="1" applyProtection="1">
      <alignment horizontal="center" vertical="center"/>
    </xf>
    <xf numFmtId="2" fontId="27" fillId="3" borderId="0" xfId="0" applyNumberFormat="1" applyFont="1" applyFill="1" applyBorder="1" applyAlignment="1" applyProtection="1">
      <alignment horizontal="center" vertical="center"/>
    </xf>
    <xf numFmtId="4" fontId="27" fillId="3" borderId="0" xfId="0" applyNumberFormat="1" applyFont="1" applyFill="1" applyBorder="1" applyAlignment="1" applyProtection="1">
      <alignment horizontal="center" vertical="center"/>
    </xf>
    <xf numFmtId="170" fontId="15" fillId="3" borderId="0" xfId="0" applyNumberFormat="1"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5" fillId="4" borderId="0" xfId="0" applyFont="1" applyFill="1" applyBorder="1" applyAlignment="1">
      <alignment vertical="top"/>
    </xf>
    <xf numFmtId="0" fontId="0" fillId="3" borderId="0" xfId="0" applyFont="1" applyFill="1" applyBorder="1" applyAlignment="1" applyProtection="1">
      <alignment horizontal="left" vertical="center"/>
    </xf>
    <xf numFmtId="0" fontId="2" fillId="3" borderId="0" xfId="0" applyFont="1" applyFill="1" applyBorder="1" applyAlignment="1">
      <alignment horizontal="center" vertical="top"/>
    </xf>
    <xf numFmtId="0" fontId="27" fillId="3" borderId="0" xfId="0" applyFont="1" applyFill="1" applyBorder="1" applyAlignment="1" applyProtection="1">
      <alignment horizontal="center" vertical="center"/>
    </xf>
    <xf numFmtId="0" fontId="5" fillId="3" borderId="0" xfId="0" applyFont="1" applyFill="1" applyBorder="1" applyAlignment="1">
      <alignment horizontal="center"/>
    </xf>
    <xf numFmtId="0" fontId="30" fillId="3" borderId="0" xfId="0" applyFont="1" applyFill="1" applyBorder="1" applyAlignment="1" applyProtection="1">
      <alignment horizontal="center" vertical="center"/>
    </xf>
    <xf numFmtId="0" fontId="30" fillId="3" borderId="0" xfId="0" applyFont="1" applyFill="1" applyBorder="1" applyAlignment="1" applyProtection="1">
      <alignment horizontal="center" vertical="center" wrapText="1"/>
    </xf>
    <xf numFmtId="4" fontId="30" fillId="3" borderId="0" xfId="0" applyNumberFormat="1" applyFont="1" applyFill="1" applyBorder="1" applyAlignment="1" applyProtection="1">
      <alignment horizontal="center" vertical="center"/>
    </xf>
    <xf numFmtId="0" fontId="2" fillId="3" borderId="0" xfId="0" applyFont="1" applyFill="1" applyBorder="1" applyAlignment="1" applyProtection="1">
      <alignment horizontal="center" vertical="center" wrapText="1"/>
      <protection locked="0"/>
    </xf>
    <xf numFmtId="168" fontId="2" fillId="3" borderId="0" xfId="0" applyNumberFormat="1" applyFont="1" applyFill="1" applyBorder="1" applyAlignment="1" applyProtection="1">
      <alignment horizontal="center" vertical="center"/>
      <protection locked="0"/>
    </xf>
    <xf numFmtId="0" fontId="2" fillId="3" borderId="0" xfId="0" quotePrefix="1" applyFont="1" applyFill="1" applyBorder="1"/>
    <xf numFmtId="0" fontId="5" fillId="3" borderId="0" xfId="0" applyFont="1" applyFill="1" applyAlignment="1">
      <alignment horizontal="left"/>
    </xf>
    <xf numFmtId="0" fontId="5" fillId="4" borderId="0" xfId="0" applyFont="1" applyFill="1" applyAlignment="1">
      <alignment horizontal="left" vertical="top"/>
    </xf>
    <xf numFmtId="0" fontId="5" fillId="2" borderId="0" xfId="1" applyFont="1" applyFill="1" applyBorder="1" applyAlignment="1">
      <alignment vertical="top"/>
    </xf>
    <xf numFmtId="0" fontId="30" fillId="3" borderId="0" xfId="0" applyFont="1" applyFill="1" applyBorder="1" applyAlignment="1">
      <alignment horizontal="left" vertical="center"/>
    </xf>
    <xf numFmtId="0" fontId="4" fillId="4" borderId="0" xfId="0" applyFont="1" applyFill="1" applyBorder="1" applyAlignment="1">
      <alignment vertical="top"/>
    </xf>
    <xf numFmtId="0" fontId="2" fillId="4" borderId="0" xfId="0" applyFont="1" applyFill="1" applyBorder="1" applyAlignment="1">
      <alignment vertical="top"/>
    </xf>
    <xf numFmtId="0" fontId="2" fillId="3" borderId="0" xfId="0" applyFont="1" applyFill="1" applyBorder="1" applyAlignment="1">
      <alignment horizontal="left"/>
    </xf>
    <xf numFmtId="0" fontId="2" fillId="3" borderId="0" xfId="0" applyFont="1" applyFill="1" applyBorder="1" applyAlignment="1">
      <alignment vertical="center"/>
    </xf>
    <xf numFmtId="0" fontId="2"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protection locked="0"/>
    </xf>
    <xf numFmtId="0" fontId="2" fillId="3" borderId="0" xfId="0" applyFont="1" applyFill="1" applyAlignment="1">
      <alignment vertical="center"/>
    </xf>
    <xf numFmtId="0" fontId="2" fillId="3" borderId="0" xfId="0" applyFont="1" applyFill="1" applyAlignment="1">
      <alignment horizontal="center"/>
    </xf>
    <xf numFmtId="0" fontId="0" fillId="4" borderId="0" xfId="0" applyFont="1" applyFill="1" applyAlignment="1">
      <alignment vertical="top"/>
    </xf>
    <xf numFmtId="0" fontId="3" fillId="4" borderId="0" xfId="0" applyFont="1" applyFill="1" applyBorder="1" applyAlignment="1">
      <alignment vertical="top"/>
    </xf>
    <xf numFmtId="168" fontId="5" fillId="3" borderId="0" xfId="0" applyNumberFormat="1" applyFont="1" applyFill="1" applyBorder="1" applyAlignment="1">
      <alignment horizontal="center" vertical="center"/>
    </xf>
    <xf numFmtId="0" fontId="2" fillId="3" borderId="0" xfId="0" applyFont="1" applyFill="1" applyBorder="1" applyAlignment="1" applyProtection="1">
      <alignment horizontal="left" vertical="top"/>
    </xf>
    <xf numFmtId="9" fontId="2" fillId="3" borderId="0" xfId="3" applyFont="1" applyFill="1" applyBorder="1" applyAlignment="1">
      <alignment horizontal="center" vertical="top"/>
    </xf>
    <xf numFmtId="0" fontId="1" fillId="3" borderId="0" xfId="0" quotePrefix="1" applyFont="1" applyFill="1" applyAlignment="1">
      <alignment vertical="center"/>
    </xf>
    <xf numFmtId="0" fontId="5" fillId="3" borderId="0" xfId="0" applyFont="1" applyFill="1" applyAlignment="1">
      <alignment horizontal="center" vertical="top"/>
    </xf>
    <xf numFmtId="0" fontId="0" fillId="0" borderId="0" xfId="0" applyFont="1" applyFill="1" applyBorder="1" applyAlignment="1" applyProtection="1">
      <alignment horizontal="center" vertical="center"/>
    </xf>
    <xf numFmtId="2" fontId="5" fillId="3" borderId="0" xfId="0" applyNumberFormat="1" applyFont="1" applyFill="1" applyAlignment="1">
      <alignment vertical="center"/>
    </xf>
    <xf numFmtId="0" fontId="0" fillId="4" borderId="2" xfId="0" applyFont="1" applyFill="1" applyBorder="1" applyAlignment="1" applyProtection="1">
      <alignment vertical="top"/>
      <protection locked="0"/>
    </xf>
    <xf numFmtId="0" fontId="0" fillId="3" borderId="0" xfId="0" applyFont="1" applyFill="1" applyAlignment="1">
      <alignment horizontal="center" vertical="center"/>
    </xf>
    <xf numFmtId="0" fontId="27" fillId="3" borderId="0" xfId="0" applyFont="1" applyFill="1"/>
    <xf numFmtId="0" fontId="16" fillId="3" borderId="0" xfId="0" applyFont="1" applyFill="1"/>
    <xf numFmtId="0" fontId="0" fillId="3" borderId="0" xfId="0" applyFont="1" applyFill="1" applyBorder="1" applyAlignment="1">
      <alignment horizontal="left" vertical="center"/>
    </xf>
    <xf numFmtId="0" fontId="30" fillId="4" borderId="0" xfId="0" applyFont="1" applyFill="1" applyBorder="1" applyAlignment="1">
      <alignment horizontal="center" vertical="center" wrapText="1"/>
    </xf>
    <xf numFmtId="0" fontId="5" fillId="3" borderId="0" xfId="0" applyFont="1" applyFill="1" applyBorder="1" applyAlignment="1">
      <alignment horizontal="left" vertical="center"/>
    </xf>
    <xf numFmtId="0" fontId="5" fillId="3" borderId="0" xfId="0" quotePrefix="1" applyFont="1" applyFill="1" applyBorder="1" applyAlignment="1">
      <alignment horizontal="right" vertical="center"/>
    </xf>
    <xf numFmtId="0" fontId="5" fillId="3" borderId="0" xfId="0" applyFont="1" applyFill="1" applyBorder="1" applyAlignment="1">
      <alignment horizontal="right"/>
    </xf>
    <xf numFmtId="0" fontId="1" fillId="3" borderId="0" xfId="1" applyFont="1" applyFill="1" applyAlignment="1">
      <alignment horizontal="left" vertical="top" wrapText="1"/>
    </xf>
    <xf numFmtId="0" fontId="2" fillId="7" borderId="0" xfId="0" applyFont="1" applyFill="1" applyBorder="1"/>
    <xf numFmtId="0" fontId="2" fillId="3" borderId="0" xfId="0" applyFont="1" applyFill="1" applyBorder="1" applyAlignment="1">
      <alignment horizontal="center" vertical="center"/>
    </xf>
    <xf numFmtId="0" fontId="2" fillId="10" borderId="0" xfId="0" applyFont="1" applyFill="1" applyBorder="1" applyAlignment="1">
      <alignment horizontal="left" vertical="center"/>
    </xf>
    <xf numFmtId="0" fontId="1" fillId="7" borderId="0" xfId="0" applyFont="1" applyFill="1" applyBorder="1" applyAlignment="1">
      <alignment horizontal="center" vertical="center"/>
    </xf>
    <xf numFmtId="0" fontId="2" fillId="7" borderId="0" xfId="0" applyFont="1" applyFill="1" applyBorder="1" applyAlignment="1">
      <alignment horizontal="center" vertical="center"/>
    </xf>
    <xf numFmtId="0" fontId="1" fillId="7" borderId="0" xfId="0" applyFont="1" applyFill="1" applyBorder="1"/>
    <xf numFmtId="0" fontId="2" fillId="7" borderId="0" xfId="0" applyFont="1" applyFill="1" applyBorder="1" applyAlignment="1">
      <alignment vertical="center"/>
    </xf>
    <xf numFmtId="0" fontId="0" fillId="7" borderId="0" xfId="0" applyFont="1" applyFill="1" applyBorder="1" applyAlignment="1">
      <alignment vertical="center"/>
    </xf>
    <xf numFmtId="0" fontId="0" fillId="3" borderId="0" xfId="0" applyFont="1" applyFill="1" applyBorder="1" applyAlignment="1">
      <alignment vertical="center"/>
    </xf>
    <xf numFmtId="0" fontId="2" fillId="7" borderId="0" xfId="0" applyFont="1" applyFill="1" applyBorder="1" applyAlignment="1">
      <alignment horizontal="center"/>
    </xf>
    <xf numFmtId="0" fontId="1" fillId="7" borderId="0" xfId="0" applyFont="1" applyFill="1" applyBorder="1" applyAlignment="1">
      <alignment vertical="center"/>
    </xf>
    <xf numFmtId="0" fontId="2" fillId="17" borderId="0" xfId="0" applyFont="1" applyFill="1" applyBorder="1"/>
    <xf numFmtId="2" fontId="1" fillId="7" borderId="0" xfId="0" applyNumberFormat="1" applyFont="1" applyFill="1" applyBorder="1" applyAlignment="1">
      <alignment horizontal="right" vertical="center"/>
    </xf>
    <xf numFmtId="2" fontId="2" fillId="7" borderId="0" xfId="0" applyNumberFormat="1" applyFont="1" applyFill="1" applyBorder="1" applyAlignment="1">
      <alignment horizontal="right" vertical="center"/>
    </xf>
    <xf numFmtId="2" fontId="2" fillId="3" borderId="0" xfId="0" applyNumberFormat="1" applyFont="1" applyFill="1" applyBorder="1" applyAlignment="1">
      <alignment horizontal="right" vertical="center"/>
    </xf>
    <xf numFmtId="2" fontId="1" fillId="3" borderId="0" xfId="0" applyNumberFormat="1" applyFont="1" applyFill="1" applyBorder="1" applyAlignment="1">
      <alignment horizontal="right" vertical="center"/>
    </xf>
    <xf numFmtId="0" fontId="2" fillId="3" borderId="0" xfId="0" applyFont="1" applyFill="1" applyBorder="1" applyAlignment="1">
      <alignment vertical="center" wrapText="1"/>
    </xf>
    <xf numFmtId="0" fontId="1" fillId="3" borderId="0" xfId="0" applyFont="1" applyFill="1" applyBorder="1" applyAlignment="1">
      <alignment horizontal="center"/>
    </xf>
    <xf numFmtId="0" fontId="1" fillId="3" borderId="0" xfId="0" applyFont="1" applyFill="1" applyBorder="1" applyAlignment="1">
      <alignment vertical="center" wrapText="1"/>
    </xf>
    <xf numFmtId="0" fontId="2" fillId="10" borderId="0" xfId="0" applyFont="1" applyFill="1" applyBorder="1" applyAlignment="1">
      <alignment horizontal="right"/>
    </xf>
    <xf numFmtId="0" fontId="1" fillId="3" borderId="0" xfId="0" applyFont="1" applyFill="1" applyBorder="1" applyAlignment="1">
      <alignment vertical="center"/>
    </xf>
    <xf numFmtId="0" fontId="2" fillId="13" borderId="0" xfId="0" applyFont="1" applyFill="1" applyBorder="1" applyAlignment="1">
      <alignment horizontal="center"/>
    </xf>
    <xf numFmtId="2" fontId="1" fillId="10" borderId="0" xfId="0" applyNumberFormat="1" applyFont="1" applyFill="1" applyBorder="1" applyAlignment="1">
      <alignment horizontal="right"/>
    </xf>
    <xf numFmtId="0" fontId="1" fillId="10" borderId="0" xfId="0" applyFont="1" applyFill="1" applyBorder="1" applyAlignment="1">
      <alignment horizontal="right"/>
    </xf>
    <xf numFmtId="0" fontId="2" fillId="10" borderId="0" xfId="0" applyFont="1" applyFill="1" applyBorder="1" applyAlignment="1">
      <alignment vertical="center" wrapText="1"/>
    </xf>
    <xf numFmtId="0" fontId="2" fillId="17" borderId="0" xfId="0" applyFont="1" applyFill="1" applyBorder="1" applyAlignment="1">
      <alignment vertical="center" wrapText="1"/>
    </xf>
    <xf numFmtId="2" fontId="2" fillId="14" borderId="0" xfId="0" applyNumberFormat="1" applyFont="1" applyFill="1" applyBorder="1" applyAlignment="1">
      <alignment horizontal="right" vertical="center"/>
    </xf>
    <xf numFmtId="0" fontId="1" fillId="15" borderId="0" xfId="0" applyFont="1" applyFill="1" applyBorder="1"/>
    <xf numFmtId="0" fontId="2" fillId="12" borderId="0" xfId="0" applyFont="1" applyFill="1" applyBorder="1"/>
    <xf numFmtId="0" fontId="2" fillId="12" borderId="0" xfId="0" applyFont="1" applyFill="1" applyBorder="1" applyAlignment="1">
      <alignment horizontal="center"/>
    </xf>
    <xf numFmtId="0" fontId="2" fillId="10" borderId="0" xfId="0" applyFont="1" applyFill="1" applyBorder="1"/>
    <xf numFmtId="2" fontId="2" fillId="16" borderId="0" xfId="0" applyNumberFormat="1" applyFont="1" applyFill="1" applyBorder="1" applyAlignment="1">
      <alignment horizontal="right" vertical="center"/>
    </xf>
    <xf numFmtId="0" fontId="1" fillId="10" borderId="0" xfId="0" applyFont="1" applyFill="1" applyBorder="1"/>
    <xf numFmtId="0" fontId="2" fillId="17" borderId="0" xfId="0" applyFont="1" applyFill="1" applyBorder="1" applyAlignment="1">
      <alignment horizontal="left" vertical="center"/>
    </xf>
    <xf numFmtId="0" fontId="2" fillId="18" borderId="0" xfId="0" applyFont="1" applyFill="1" applyBorder="1" applyAlignment="1">
      <alignment horizontal="center"/>
    </xf>
    <xf numFmtId="2" fontId="2" fillId="18" borderId="0" xfId="0" applyNumberFormat="1" applyFont="1" applyFill="1" applyBorder="1" applyAlignment="1">
      <alignment horizontal="right" vertical="center"/>
    </xf>
    <xf numFmtId="0" fontId="1" fillId="19" borderId="0" xfId="0" applyFont="1" applyFill="1" applyBorder="1"/>
    <xf numFmtId="0" fontId="2" fillId="11" borderId="0" xfId="0" applyFont="1" applyFill="1" applyBorder="1"/>
    <xf numFmtId="0" fontId="1" fillId="13" borderId="0" xfId="0" applyFont="1" applyFill="1" applyBorder="1" applyAlignment="1">
      <alignment horizontal="center"/>
    </xf>
    <xf numFmtId="2" fontId="2" fillId="13" borderId="0" xfId="0" applyNumberFormat="1" applyFont="1" applyFill="1" applyBorder="1" applyAlignment="1">
      <alignment horizontal="right" vertical="center"/>
    </xf>
    <xf numFmtId="0" fontId="1" fillId="11" borderId="0" xfId="0" applyFont="1" applyFill="1" applyBorder="1"/>
    <xf numFmtId="0" fontId="2" fillId="19" borderId="0" xfId="0" applyFont="1" applyFill="1" applyBorder="1"/>
    <xf numFmtId="0" fontId="1" fillId="3" borderId="0" xfId="1" applyFont="1" applyFill="1" applyBorder="1" applyAlignment="1">
      <alignment vertical="top"/>
    </xf>
    <xf numFmtId="0" fontId="3" fillId="4" borderId="0" xfId="0" applyFont="1" applyFill="1"/>
    <xf numFmtId="0" fontId="0" fillId="4" borderId="0" xfId="0" applyFill="1"/>
    <xf numFmtId="0" fontId="30" fillId="4" borderId="0" xfId="0" applyFont="1" applyFill="1" applyBorder="1" applyAlignment="1">
      <alignment vertical="top"/>
    </xf>
    <xf numFmtId="172" fontId="30" fillId="4" borderId="0" xfId="0" applyNumberFormat="1" applyFont="1" applyFill="1" applyBorder="1" applyAlignment="1">
      <alignment horizontal="center" vertical="top"/>
    </xf>
    <xf numFmtId="172" fontId="30" fillId="4" borderId="0" xfId="0" applyNumberFormat="1" applyFont="1" applyFill="1" applyBorder="1" applyAlignment="1">
      <alignment horizontal="center" vertical="top" wrapText="1"/>
    </xf>
    <xf numFmtId="0" fontId="30" fillId="4" borderId="0" xfId="0" applyFont="1" applyFill="1" applyBorder="1" applyAlignment="1">
      <alignment horizontal="center" vertical="top"/>
    </xf>
    <xf numFmtId="172" fontId="27" fillId="4" borderId="0" xfId="0" applyNumberFormat="1" applyFont="1" applyFill="1" applyBorder="1" applyAlignment="1">
      <alignment horizontal="center" vertical="top"/>
    </xf>
    <xf numFmtId="0" fontId="27" fillId="4" borderId="0" xfId="0" applyFont="1" applyFill="1" applyBorder="1" applyAlignment="1">
      <alignment horizontal="center" vertical="top"/>
    </xf>
    <xf numFmtId="0" fontId="1" fillId="18" borderId="0" xfId="0" applyFont="1" applyFill="1" applyBorder="1" applyAlignment="1">
      <alignment horizontal="center"/>
    </xf>
    <xf numFmtId="0" fontId="0" fillId="4" borderId="0" xfId="0" applyFill="1" applyBorder="1" applyAlignment="1">
      <alignment horizontal="center"/>
    </xf>
    <xf numFmtId="168" fontId="5" fillId="3" borderId="0" xfId="0" applyNumberFormat="1" applyFont="1" applyFill="1" applyAlignment="1">
      <alignment vertical="center"/>
    </xf>
    <xf numFmtId="0" fontId="5" fillId="4" borderId="2" xfId="0" applyFont="1" applyFill="1" applyBorder="1" applyAlignment="1" applyProtection="1">
      <alignment horizontal="center" vertical="top" wrapText="1"/>
      <protection locked="0"/>
    </xf>
    <xf numFmtId="0" fontId="4" fillId="3" borderId="0" xfId="0" applyFont="1" applyFill="1"/>
    <xf numFmtId="0" fontId="30" fillId="3" borderId="0" xfId="0" applyFont="1" applyFill="1" applyBorder="1"/>
    <xf numFmtId="0" fontId="5" fillId="4" borderId="2" xfId="0" applyFont="1" applyFill="1" applyBorder="1" applyAlignment="1" applyProtection="1">
      <alignment horizontal="left" vertical="top" wrapText="1"/>
      <protection locked="0"/>
    </xf>
    <xf numFmtId="0" fontId="5" fillId="4" borderId="2" xfId="0" applyFont="1" applyFill="1" applyBorder="1" applyAlignment="1" applyProtection="1">
      <alignment horizontal="right" vertical="top" wrapText="1"/>
      <protection locked="0"/>
    </xf>
    <xf numFmtId="3" fontId="2" fillId="4" borderId="2" xfId="0" applyNumberFormat="1" applyFont="1" applyFill="1" applyBorder="1" applyAlignment="1" applyProtection="1">
      <alignment horizontal="right" vertical="top"/>
      <protection locked="0"/>
    </xf>
    <xf numFmtId="169" fontId="2" fillId="4" borderId="2" xfId="0" applyNumberFormat="1" applyFont="1" applyFill="1" applyBorder="1" applyAlignment="1" applyProtection="1">
      <alignment horizontal="right" vertical="top"/>
      <protection locked="0"/>
    </xf>
    <xf numFmtId="0" fontId="0" fillId="4" borderId="2" xfId="0" applyFont="1" applyFill="1" applyBorder="1" applyAlignment="1" applyProtection="1">
      <alignment horizontal="center" vertical="top"/>
      <protection locked="0"/>
    </xf>
    <xf numFmtId="0" fontId="27" fillId="4" borderId="0" xfId="0" applyFont="1" applyFill="1" applyBorder="1" applyAlignment="1" applyProtection="1">
      <alignment vertical="top" wrapText="1"/>
    </xf>
    <xf numFmtId="0" fontId="27" fillId="3" borderId="0" xfId="0" applyFont="1" applyFill="1" applyBorder="1" applyAlignment="1" applyProtection="1">
      <alignment vertical="top" wrapText="1"/>
    </xf>
    <xf numFmtId="0" fontId="1" fillId="3" borderId="0" xfId="0" applyFont="1" applyFill="1" applyAlignment="1">
      <alignment vertical="center"/>
    </xf>
    <xf numFmtId="9" fontId="0" fillId="3" borderId="0" xfId="3" applyFont="1" applyFill="1" applyBorder="1" applyAlignment="1">
      <alignment horizontal="center" vertical="top"/>
    </xf>
    <xf numFmtId="0" fontId="0" fillId="4" borderId="0" xfId="0" applyFont="1" applyFill="1" applyBorder="1" applyAlignment="1">
      <alignment vertical="top"/>
    </xf>
    <xf numFmtId="3" fontId="0" fillId="3" borderId="0" xfId="0" applyNumberFormat="1" applyFont="1" applyFill="1" applyBorder="1" applyAlignment="1" applyProtection="1">
      <alignment horizontal="center" vertical="center"/>
    </xf>
    <xf numFmtId="168" fontId="0" fillId="3" borderId="0" xfId="0" applyNumberFormat="1" applyFont="1" applyFill="1" applyBorder="1" applyAlignment="1">
      <alignment horizontal="center" vertical="center"/>
    </xf>
    <xf numFmtId="0" fontId="0" fillId="3" borderId="0" xfId="0" applyFont="1" applyFill="1" applyBorder="1" applyAlignment="1" applyProtection="1">
      <alignment horizontal="center" vertical="center" wrapText="1"/>
    </xf>
    <xf numFmtId="0" fontId="0" fillId="4" borderId="0" xfId="0" applyFont="1" applyFill="1" applyAlignment="1">
      <alignment horizontal="left" vertical="top"/>
    </xf>
    <xf numFmtId="0" fontId="0" fillId="9" borderId="0" xfId="0" applyFont="1" applyFill="1" applyBorder="1" applyAlignment="1" applyProtection="1">
      <alignment horizontal="center" vertical="center"/>
    </xf>
    <xf numFmtId="0" fontId="0" fillId="0" borderId="0" xfId="0" applyFont="1"/>
    <xf numFmtId="3" fontId="0" fillId="3" borderId="0" xfId="0" applyNumberFormat="1" applyFont="1" applyFill="1" applyAlignment="1">
      <alignment horizontal="center" vertical="center"/>
    </xf>
    <xf numFmtId="0" fontId="0" fillId="9" borderId="0" xfId="0" applyFont="1" applyFill="1" applyBorder="1" applyAlignment="1" applyProtection="1">
      <alignment horizontal="left" vertical="center"/>
    </xf>
    <xf numFmtId="0" fontId="0" fillId="3" borderId="0" xfId="0" applyFont="1" applyFill="1" applyBorder="1" applyAlignment="1" applyProtection="1">
      <alignment horizontal="center" vertical="center" wrapText="1"/>
      <protection locked="0"/>
    </xf>
    <xf numFmtId="168" fontId="0" fillId="3" borderId="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vertical="center" wrapText="1"/>
    </xf>
    <xf numFmtId="3" fontId="0" fillId="3" borderId="0" xfId="0" applyNumberFormat="1" applyFont="1" applyFill="1" applyBorder="1" applyAlignment="1" applyProtection="1">
      <alignment horizontal="center" vertical="center"/>
      <protection locked="0"/>
    </xf>
    <xf numFmtId="0" fontId="0" fillId="3" borderId="0" xfId="0" applyFont="1" applyFill="1" applyBorder="1" applyProtection="1"/>
    <xf numFmtId="0" fontId="0" fillId="3" borderId="0" xfId="0" applyFont="1" applyFill="1" applyBorder="1" applyAlignment="1" applyProtection="1">
      <alignment horizontal="left"/>
    </xf>
    <xf numFmtId="2" fontId="0" fillId="3" borderId="0" xfId="0" applyNumberFormat="1" applyFont="1" applyFill="1" applyBorder="1" applyAlignment="1" applyProtection="1">
      <alignment horizontal="center" vertical="center"/>
    </xf>
    <xf numFmtId="0" fontId="0" fillId="3" borderId="0" xfId="0" applyFont="1" applyFill="1" applyBorder="1" applyAlignment="1" applyProtection="1">
      <alignment horizontal="center"/>
    </xf>
    <xf numFmtId="4" fontId="5" fillId="4" borderId="2" xfId="0" applyNumberFormat="1" applyFont="1" applyFill="1" applyBorder="1" applyAlignment="1" applyProtection="1">
      <alignment horizontal="center" vertical="top"/>
      <protection locked="0"/>
    </xf>
    <xf numFmtId="0" fontId="5" fillId="4" borderId="2" xfId="0" applyFont="1" applyFill="1" applyBorder="1" applyAlignment="1" applyProtection="1">
      <alignment horizontal="center" vertical="center" wrapText="1"/>
      <protection locked="0"/>
    </xf>
    <xf numFmtId="0" fontId="5" fillId="3" borderId="0" xfId="1" applyFont="1" applyFill="1" applyAlignment="1">
      <alignment horizontal="center" vertical="center"/>
    </xf>
    <xf numFmtId="0" fontId="5" fillId="3" borderId="0" xfId="1" applyFont="1" applyFill="1" applyBorder="1" applyAlignment="1">
      <alignment vertical="center"/>
    </xf>
    <xf numFmtId="0" fontId="17" fillId="3" borderId="0" xfId="0" applyFont="1" applyFill="1" applyBorder="1" applyAlignment="1">
      <alignment horizontal="center" vertical="center"/>
    </xf>
    <xf numFmtId="0" fontId="0" fillId="3" borderId="0" xfId="0" applyFont="1" applyFill="1" applyAlignment="1">
      <alignment horizontal="left" vertical="center"/>
    </xf>
    <xf numFmtId="0" fontId="32" fillId="3" borderId="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3" fontId="0" fillId="3" borderId="0" xfId="0" applyNumberFormat="1" applyFont="1" applyFill="1" applyBorder="1" applyAlignment="1">
      <alignment vertical="center"/>
    </xf>
    <xf numFmtId="3" fontId="3" fillId="3" borderId="0" xfId="0" applyNumberFormat="1" applyFont="1" applyFill="1" applyBorder="1" applyAlignment="1">
      <alignment vertical="center"/>
    </xf>
    <xf numFmtId="0" fontId="0" fillId="3" borderId="0" xfId="1" applyFont="1" applyFill="1" applyAlignment="1">
      <alignment horizontal="center" vertical="center"/>
    </xf>
    <xf numFmtId="0" fontId="42" fillId="3" borderId="0" xfId="0" applyFont="1" applyFill="1" applyBorder="1" applyAlignment="1">
      <alignment horizontal="left" vertical="center"/>
    </xf>
    <xf numFmtId="9" fontId="5" fillId="3" borderId="0" xfId="3" applyFont="1" applyFill="1" applyAlignment="1">
      <alignment vertical="center"/>
    </xf>
    <xf numFmtId="0" fontId="2" fillId="3" borderId="0" xfId="1" applyFont="1" applyFill="1" applyAlignment="1">
      <alignment vertical="center"/>
    </xf>
    <xf numFmtId="0" fontId="30" fillId="3" borderId="0" xfId="0" applyFont="1" applyFill="1"/>
    <xf numFmtId="3" fontId="5" fillId="4" borderId="2" xfId="0" applyNumberFormat="1" applyFont="1" applyFill="1" applyBorder="1" applyAlignment="1" applyProtection="1">
      <alignment horizontal="right" vertical="top"/>
      <protection locked="0"/>
    </xf>
    <xf numFmtId="0" fontId="0" fillId="3" borderId="0" xfId="1" applyFont="1" applyFill="1" applyAlignment="1">
      <alignment vertical="center"/>
    </xf>
    <xf numFmtId="0" fontId="3" fillId="4" borderId="0" xfId="1" applyFont="1" applyFill="1" applyAlignment="1">
      <alignment vertical="center"/>
    </xf>
    <xf numFmtId="173" fontId="5" fillId="3" borderId="0" xfId="0" applyNumberFormat="1" applyFont="1" applyFill="1" applyAlignment="1">
      <alignment vertical="top"/>
    </xf>
    <xf numFmtId="4" fontId="5" fillId="3" borderId="0" xfId="0" applyNumberFormat="1" applyFont="1" applyFill="1" applyAlignment="1">
      <alignment vertical="center"/>
    </xf>
    <xf numFmtId="9" fontId="2" fillId="4" borderId="2" xfId="3" applyFont="1" applyFill="1" applyBorder="1" applyAlignment="1" applyProtection="1">
      <alignment horizontal="center" vertical="top"/>
      <protection locked="0"/>
    </xf>
    <xf numFmtId="0" fontId="43" fillId="3" borderId="0" xfId="0" applyFont="1" applyFill="1"/>
    <xf numFmtId="0" fontId="2" fillId="3" borderId="0" xfId="0" applyFont="1" applyFill="1" applyAlignment="1">
      <alignment horizontal="left" vertical="top" wrapText="1"/>
    </xf>
    <xf numFmtId="0" fontId="5" fillId="6" borderId="0" xfId="1" applyFont="1" applyFill="1" applyAlignment="1">
      <alignment vertical="top"/>
    </xf>
    <xf numFmtId="0" fontId="5" fillId="21" borderId="0" xfId="1" applyFont="1" applyFill="1" applyAlignment="1">
      <alignment vertical="top"/>
    </xf>
    <xf numFmtId="0" fontId="7" fillId="22" borderId="2" xfId="1" applyFont="1" applyFill="1" applyBorder="1" applyAlignment="1">
      <alignment horizontal="left" vertical="top"/>
    </xf>
    <xf numFmtId="0" fontId="5" fillId="23" borderId="0" xfId="0" applyFont="1" applyFill="1" applyBorder="1" applyAlignment="1">
      <alignment horizontal="center"/>
    </xf>
    <xf numFmtId="1" fontId="0" fillId="23" borderId="0" xfId="0" applyNumberFormat="1" applyFont="1" applyFill="1" applyBorder="1" applyAlignment="1">
      <alignment horizontal="center"/>
    </xf>
    <xf numFmtId="1" fontId="2" fillId="23" borderId="0" xfId="0" applyNumberFormat="1" applyFont="1" applyFill="1" applyBorder="1" applyAlignment="1">
      <alignment horizontal="center"/>
    </xf>
    <xf numFmtId="0" fontId="0" fillId="23" borderId="0" xfId="0" applyFont="1" applyFill="1" applyBorder="1" applyAlignment="1">
      <alignment horizontal="center"/>
    </xf>
    <xf numFmtId="0" fontId="2" fillId="23" borderId="0" xfId="0" applyFont="1" applyFill="1" applyBorder="1" applyAlignment="1">
      <alignment horizontal="center"/>
    </xf>
    <xf numFmtId="1" fontId="2" fillId="23" borderId="0" xfId="0" applyNumberFormat="1" applyFont="1" applyFill="1" applyBorder="1" applyAlignment="1">
      <alignment horizontal="center" vertical="top"/>
    </xf>
    <xf numFmtId="0" fontId="0" fillId="23" borderId="0" xfId="0" applyFont="1" applyFill="1" applyBorder="1" applyAlignment="1">
      <alignment horizontal="center" vertical="top"/>
    </xf>
    <xf numFmtId="0" fontId="2" fillId="23" borderId="0" xfId="0" applyFont="1" applyFill="1" applyBorder="1" applyAlignment="1">
      <alignment horizontal="center" vertical="top"/>
    </xf>
    <xf numFmtId="0" fontId="5" fillId="23" borderId="0" xfId="0" applyFont="1" applyFill="1" applyBorder="1" applyAlignment="1">
      <alignment horizontal="center" vertical="top"/>
    </xf>
    <xf numFmtId="2" fontId="27" fillId="23" borderId="0" xfId="0" applyNumberFormat="1" applyFont="1" applyFill="1" applyBorder="1" applyAlignment="1" applyProtection="1">
      <alignment horizontal="left" vertical="center"/>
    </xf>
    <xf numFmtId="2" fontId="27" fillId="23" borderId="0" xfId="0" applyNumberFormat="1" applyFont="1" applyFill="1" applyBorder="1" applyAlignment="1" applyProtection="1">
      <alignment horizontal="center" vertical="center"/>
    </xf>
    <xf numFmtId="2" fontId="15" fillId="23" borderId="0" xfId="0" applyNumberFormat="1" applyFont="1" applyFill="1" applyBorder="1" applyAlignment="1" applyProtection="1">
      <alignment horizontal="center" vertical="center"/>
    </xf>
    <xf numFmtId="171" fontId="15" fillId="23" borderId="0" xfId="0" applyNumberFormat="1" applyFont="1" applyFill="1" applyBorder="1" applyAlignment="1" applyProtection="1">
      <alignment horizontal="center" vertical="center"/>
    </xf>
    <xf numFmtId="3" fontId="5" fillId="23" borderId="0" xfId="0" applyNumberFormat="1" applyFont="1" applyFill="1" applyBorder="1" applyAlignment="1" applyProtection="1">
      <alignment horizontal="center" vertical="center"/>
    </xf>
    <xf numFmtId="3" fontId="0" fillId="23" borderId="0" xfId="0" applyNumberFormat="1" applyFont="1" applyFill="1" applyBorder="1" applyAlignment="1" applyProtection="1">
      <alignment horizontal="center" vertical="center"/>
    </xf>
    <xf numFmtId="0" fontId="0" fillId="23" borderId="0" xfId="0" applyFont="1" applyFill="1" applyBorder="1" applyAlignment="1" applyProtection="1">
      <alignment horizontal="center" vertical="center" wrapText="1"/>
    </xf>
    <xf numFmtId="3" fontId="2" fillId="23" borderId="0" xfId="0" applyNumberFormat="1" applyFont="1" applyFill="1" applyBorder="1" applyAlignment="1" applyProtection="1">
      <alignment horizontal="center" vertical="center"/>
    </xf>
    <xf numFmtId="4" fontId="2" fillId="23" borderId="0" xfId="0" applyNumberFormat="1" applyFont="1" applyFill="1" applyBorder="1" applyAlignment="1" applyProtection="1">
      <alignment horizontal="center" vertical="center"/>
    </xf>
    <xf numFmtId="3" fontId="0" fillId="23" borderId="0" xfId="0" applyNumberFormat="1" applyFont="1" applyFill="1" applyBorder="1" applyAlignment="1">
      <alignment horizontal="center" vertical="top"/>
    </xf>
    <xf numFmtId="169" fontId="5" fillId="23" borderId="0" xfId="0" applyNumberFormat="1" applyFont="1" applyFill="1" applyBorder="1" applyAlignment="1" applyProtection="1">
      <alignment horizontal="center" vertical="center"/>
    </xf>
    <xf numFmtId="169" fontId="0" fillId="23" borderId="0" xfId="0" applyNumberFormat="1" applyFont="1" applyFill="1" applyBorder="1" applyAlignment="1" applyProtection="1">
      <alignment horizontal="center" vertical="center"/>
    </xf>
    <xf numFmtId="171" fontId="27" fillId="23" borderId="0" xfId="0" applyNumberFormat="1" applyFont="1" applyFill="1" applyBorder="1" applyAlignment="1" applyProtection="1">
      <alignment horizontal="center" vertical="center"/>
    </xf>
    <xf numFmtId="166" fontId="2" fillId="23" borderId="0" xfId="3" applyNumberFormat="1" applyFont="1" applyFill="1" applyBorder="1" applyAlignment="1">
      <alignment horizontal="center" vertical="top"/>
    </xf>
    <xf numFmtId="1" fontId="2" fillId="23" borderId="0" xfId="3" applyNumberFormat="1" applyFont="1" applyFill="1" applyBorder="1" applyAlignment="1">
      <alignment horizontal="center" vertical="top"/>
    </xf>
    <xf numFmtId="4" fontId="0" fillId="23" borderId="0" xfId="0" applyNumberFormat="1" applyFont="1" applyFill="1" applyBorder="1" applyAlignment="1">
      <alignment vertical="center"/>
    </xf>
    <xf numFmtId="4" fontId="3" fillId="23" borderId="0" xfId="0" applyNumberFormat="1" applyFont="1" applyFill="1" applyBorder="1" applyAlignment="1">
      <alignment vertical="center"/>
    </xf>
    <xf numFmtId="0" fontId="0" fillId="23" borderId="0" xfId="0" applyFont="1" applyFill="1" applyBorder="1" applyAlignment="1">
      <alignment vertical="center"/>
    </xf>
    <xf numFmtId="2" fontId="2" fillId="24" borderId="0" xfId="0" applyNumberFormat="1" applyFont="1" applyFill="1" applyBorder="1" applyAlignment="1">
      <alignment horizontal="right"/>
    </xf>
    <xf numFmtId="0" fontId="5" fillId="23" borderId="0" xfId="0" applyFont="1" applyFill="1" applyBorder="1" applyAlignment="1">
      <alignment horizontal="right"/>
    </xf>
    <xf numFmtId="1" fontId="5" fillId="25" borderId="0" xfId="0" applyNumberFormat="1" applyFont="1" applyFill="1" applyBorder="1" applyAlignment="1">
      <alignment horizontal="center" vertical="center"/>
    </xf>
    <xf numFmtId="1" fontId="15" fillId="25" borderId="0" xfId="0" applyNumberFormat="1" applyFont="1" applyFill="1" applyBorder="1" applyAlignment="1" applyProtection="1">
      <alignment horizontal="center" vertical="center"/>
    </xf>
    <xf numFmtId="0" fontId="0" fillId="25" borderId="0" xfId="0" applyFont="1" applyFill="1" applyBorder="1" applyAlignment="1">
      <alignment horizontal="center"/>
    </xf>
    <xf numFmtId="0" fontId="2" fillId="25" borderId="0" xfId="3" applyNumberFormat="1" applyFont="1" applyFill="1" applyBorder="1" applyAlignment="1">
      <alignment horizontal="center" vertical="top"/>
    </xf>
    <xf numFmtId="9" fontId="5" fillId="25" borderId="0" xfId="3" applyFont="1" applyFill="1" applyBorder="1" applyAlignment="1">
      <alignment horizontal="center" vertical="top"/>
    </xf>
    <xf numFmtId="9" fontId="0" fillId="25" borderId="0" xfId="3" applyFont="1" applyFill="1" applyBorder="1" applyAlignment="1">
      <alignment horizontal="center" vertical="top"/>
    </xf>
    <xf numFmtId="9" fontId="2" fillId="25" borderId="0" xfId="3" applyFont="1" applyFill="1" applyBorder="1" applyAlignment="1">
      <alignment horizontal="center" vertical="top"/>
    </xf>
    <xf numFmtId="2" fontId="15" fillId="25" borderId="0" xfId="0" applyNumberFormat="1" applyFont="1" applyFill="1" applyBorder="1" applyAlignment="1" applyProtection="1">
      <alignment horizontal="center" vertical="center"/>
    </xf>
    <xf numFmtId="168" fontId="5" fillId="25" borderId="0" xfId="0" applyNumberFormat="1" applyFont="1" applyFill="1" applyBorder="1" applyAlignment="1">
      <alignment horizontal="center" vertical="center"/>
    </xf>
    <xf numFmtId="168" fontId="0" fillId="25" borderId="0" xfId="0" applyNumberFormat="1" applyFont="1" applyFill="1" applyBorder="1" applyAlignment="1">
      <alignment horizontal="center" vertical="center"/>
    </xf>
    <xf numFmtId="4" fontId="15" fillId="25" borderId="0" xfId="0" applyNumberFormat="1" applyFont="1" applyFill="1" applyBorder="1" applyAlignment="1" applyProtection="1">
      <alignment horizontal="center" vertical="center"/>
    </xf>
    <xf numFmtId="172" fontId="15" fillId="25" borderId="0" xfId="0" applyNumberFormat="1" applyFont="1" applyFill="1" applyBorder="1" applyAlignment="1" applyProtection="1">
      <alignment horizontal="center" vertical="center"/>
    </xf>
    <xf numFmtId="2" fontId="27" fillId="25" borderId="0" xfId="0" applyNumberFormat="1" applyFont="1" applyFill="1" applyBorder="1" applyAlignment="1" applyProtection="1">
      <alignment horizontal="center" vertical="center"/>
    </xf>
    <xf numFmtId="4" fontId="5" fillId="25" borderId="0" xfId="1" applyNumberFormat="1" applyFont="1" applyFill="1" applyAlignment="1">
      <alignment vertical="center"/>
    </xf>
    <xf numFmtId="169" fontId="5" fillId="25" borderId="0" xfId="1" applyNumberFormat="1" applyFont="1" applyFill="1" applyAlignment="1">
      <alignment vertical="center"/>
    </xf>
    <xf numFmtId="166" fontId="5" fillId="3" borderId="0" xfId="3" applyNumberFormat="1" applyFont="1" applyFill="1" applyAlignment="1">
      <alignment vertical="center"/>
    </xf>
    <xf numFmtId="0" fontId="5" fillId="2" borderId="0" xfId="1" applyFont="1" applyFill="1" applyAlignment="1">
      <alignment vertical="top" wrapText="1"/>
    </xf>
    <xf numFmtId="0" fontId="5" fillId="3" borderId="1" xfId="1" applyFont="1" applyFill="1" applyBorder="1" applyAlignment="1">
      <alignment vertical="top" wrapText="1"/>
    </xf>
    <xf numFmtId="0" fontId="0" fillId="7" borderId="0" xfId="1" applyFont="1" applyFill="1" applyAlignment="1">
      <alignment vertical="top"/>
    </xf>
    <xf numFmtId="0" fontId="1" fillId="3" borderId="0" xfId="1" applyFont="1" applyFill="1" applyAlignment="1">
      <alignment vertical="top"/>
    </xf>
    <xf numFmtId="0" fontId="1" fillId="3" borderId="0" xfId="1" applyFont="1" applyFill="1" applyAlignment="1">
      <alignment vertical="top" wrapText="1"/>
    </xf>
    <xf numFmtId="3" fontId="5" fillId="4" borderId="2" xfId="0" applyNumberFormat="1" applyFont="1" applyFill="1" applyBorder="1" applyAlignment="1" applyProtection="1">
      <alignment horizontal="right" vertical="center"/>
      <protection locked="0"/>
    </xf>
    <xf numFmtId="0" fontId="0" fillId="4" borderId="2" xfId="0" applyFont="1" applyFill="1" applyBorder="1" applyAlignment="1" applyProtection="1">
      <alignment horizontal="center" vertical="top" wrapText="1"/>
      <protection locked="0"/>
    </xf>
    <xf numFmtId="3" fontId="2" fillId="4" borderId="2" xfId="0" applyNumberFormat="1" applyFont="1" applyFill="1" applyBorder="1" applyAlignment="1" applyProtection="1">
      <alignment horizontal="center" vertical="top"/>
      <protection locked="0"/>
    </xf>
    <xf numFmtId="3" fontId="0" fillId="4" borderId="2" xfId="0" applyNumberFormat="1" applyFont="1" applyFill="1" applyBorder="1" applyAlignment="1" applyProtection="1">
      <alignment vertical="top"/>
      <protection locked="0"/>
    </xf>
    <xf numFmtId="0" fontId="13" fillId="3" borderId="0" xfId="0" applyFont="1" applyFill="1" applyBorder="1" applyAlignment="1">
      <alignment vertical="top" wrapText="1"/>
    </xf>
    <xf numFmtId="2" fontId="5" fillId="7" borderId="0" xfId="0" applyNumberFormat="1" applyFont="1" applyFill="1" applyBorder="1" applyAlignment="1">
      <alignment horizontal="left" vertical="top"/>
    </xf>
    <xf numFmtId="0" fontId="6" fillId="3" borderId="0" xfId="1" applyFont="1" applyFill="1" applyBorder="1" applyAlignment="1">
      <alignment horizontal="left" vertical="top" wrapText="1"/>
    </xf>
    <xf numFmtId="0" fontId="5" fillId="3" borderId="0" xfId="1" applyFont="1" applyFill="1" applyBorder="1" applyAlignment="1"/>
    <xf numFmtId="0" fontId="2" fillId="3" borderId="0" xfId="0" applyFont="1" applyFill="1" applyAlignment="1">
      <alignment vertical="top" wrapText="1"/>
    </xf>
    <xf numFmtId="2" fontId="2" fillId="3" borderId="0" xfId="0" applyNumberFormat="1" applyFont="1" applyFill="1" applyBorder="1" applyAlignment="1">
      <alignment horizontal="left" vertical="top" wrapText="1"/>
    </xf>
    <xf numFmtId="0" fontId="2" fillId="3" borderId="0" xfId="1" applyFont="1" applyFill="1" applyAlignment="1">
      <alignment wrapText="1"/>
    </xf>
    <xf numFmtId="0" fontId="2" fillId="3" borderId="0" xfId="1" applyFont="1" applyFill="1" applyAlignment="1">
      <alignment vertical="top" wrapText="1"/>
    </xf>
    <xf numFmtId="0" fontId="5" fillId="3" borderId="0" xfId="1" applyFont="1" applyFill="1" applyBorder="1" applyAlignment="1">
      <alignment horizontal="left" vertical="top" wrapText="1"/>
    </xf>
    <xf numFmtId="0" fontId="5" fillId="3" borderId="0" xfId="0" applyFont="1" applyFill="1" applyAlignment="1">
      <alignment vertical="top"/>
    </xf>
    <xf numFmtId="0" fontId="0" fillId="3" borderId="0" xfId="0" quotePrefix="1" applyFont="1" applyFill="1" applyAlignment="1">
      <alignment vertical="top" wrapText="1"/>
    </xf>
    <xf numFmtId="0" fontId="0" fillId="7" borderId="0" xfId="1" applyFont="1" applyFill="1" applyAlignment="1">
      <alignment vertical="top"/>
    </xf>
    <xf numFmtId="0" fontId="3" fillId="3" borderId="0" xfId="1" applyFont="1" applyFill="1" applyAlignment="1">
      <alignment vertical="top" wrapText="1"/>
    </xf>
    <xf numFmtId="0" fontId="0" fillId="3" borderId="0" xfId="1" applyFont="1" applyFill="1" applyAlignment="1">
      <alignment horizontal="center" vertical="center" wrapText="1"/>
    </xf>
    <xf numFmtId="0" fontId="0" fillId="3" borderId="0" xfId="0" applyFont="1" applyFill="1" applyBorder="1" applyAlignment="1">
      <alignment vertical="top" wrapText="1"/>
    </xf>
    <xf numFmtId="0" fontId="5" fillId="3" borderId="0" xfId="1" applyFont="1" applyFill="1" applyAlignment="1">
      <alignment vertical="top"/>
    </xf>
    <xf numFmtId="0" fontId="5" fillId="3" borderId="0" xfId="1" applyFont="1" applyFill="1" applyAlignment="1"/>
    <xf numFmtId="0" fontId="5" fillId="3" borderId="0" xfId="1" applyFont="1" applyFill="1" applyAlignment="1">
      <alignment vertical="top" wrapText="1"/>
    </xf>
    <xf numFmtId="0" fontId="5" fillId="3" borderId="0" xfId="0" applyFont="1" applyFill="1" applyAlignment="1">
      <alignment vertical="top" wrapText="1"/>
    </xf>
    <xf numFmtId="0" fontId="0" fillId="3" borderId="0" xfId="0" applyFont="1" applyFill="1" applyAlignment="1">
      <alignment vertical="top" wrapText="1"/>
    </xf>
    <xf numFmtId="0" fontId="0" fillId="3" borderId="0" xfId="1" applyFont="1" applyFill="1" applyAlignment="1">
      <alignment vertical="top"/>
    </xf>
    <xf numFmtId="0" fontId="0" fillId="3" borderId="0" xfId="1" applyFont="1" applyFill="1" applyAlignment="1">
      <alignment vertical="top" wrapText="1"/>
    </xf>
    <xf numFmtId="2" fontId="5" fillId="3" borderId="0" xfId="0" applyNumberFormat="1" applyFont="1" applyFill="1" applyBorder="1" applyAlignment="1">
      <alignment horizontal="left" vertical="top" wrapText="1"/>
    </xf>
    <xf numFmtId="2" fontId="0" fillId="3" borderId="0" xfId="0" applyNumberFormat="1" applyFont="1" applyFill="1" applyBorder="1" applyAlignment="1">
      <alignment horizontal="left" vertical="top" wrapText="1"/>
    </xf>
    <xf numFmtId="0" fontId="5" fillId="3" borderId="0" xfId="1" applyFont="1" applyFill="1" applyAlignment="1">
      <alignment horizontal="center" vertical="center"/>
    </xf>
    <xf numFmtId="0" fontId="0" fillId="3" borderId="0" xfId="1" applyFont="1" applyFill="1" applyAlignment="1"/>
    <xf numFmtId="0" fontId="5" fillId="3" borderId="0" xfId="1" applyFont="1" applyFill="1" applyAlignment="1">
      <alignment wrapText="1"/>
    </xf>
    <xf numFmtId="0" fontId="0" fillId="3" borderId="0" xfId="1" applyFont="1" applyFill="1" applyAlignment="1">
      <alignment wrapText="1"/>
    </xf>
    <xf numFmtId="14" fontId="0" fillId="3" borderId="0" xfId="1" applyNumberFormat="1" applyFont="1" applyFill="1" applyAlignment="1">
      <alignment horizontal="left" vertical="top"/>
    </xf>
    <xf numFmtId="14" fontId="5" fillId="3" borderId="0" xfId="0" applyNumberFormat="1" applyFont="1" applyFill="1" applyAlignment="1">
      <alignment horizontal="left" vertical="top"/>
    </xf>
    <xf numFmtId="0" fontId="5" fillId="3" borderId="0" xfId="0" applyNumberFormat="1" applyFont="1" applyFill="1" applyBorder="1" applyAlignment="1">
      <alignment vertical="top" wrapText="1"/>
    </xf>
    <xf numFmtId="0" fontId="5" fillId="3" borderId="0" xfId="0" applyFont="1" applyFill="1" applyBorder="1" applyAlignment="1">
      <alignment horizontal="left" vertical="top" wrapText="1"/>
    </xf>
    <xf numFmtId="0" fontId="5" fillId="3" borderId="0" xfId="0" applyFont="1" applyFill="1" applyBorder="1" applyAlignment="1">
      <alignment horizontal="left" vertical="top"/>
    </xf>
    <xf numFmtId="0" fontId="5" fillId="3" borderId="0" xfId="1" applyFont="1" applyFill="1" applyAlignment="1">
      <alignment horizontal="left" vertical="top" wrapText="1"/>
    </xf>
    <xf numFmtId="0" fontId="0" fillId="3" borderId="0" xfId="0" applyFont="1" applyFill="1" applyBorder="1" applyAlignment="1">
      <alignment horizontal="left" wrapText="1"/>
    </xf>
    <xf numFmtId="0" fontId="2" fillId="3" borderId="0" xfId="0" applyFont="1" applyFill="1" applyBorder="1" applyAlignment="1">
      <alignment horizontal="left" wrapText="1"/>
    </xf>
    <xf numFmtId="0" fontId="5" fillId="3" borderId="0" xfId="0" applyFont="1" applyFill="1" applyBorder="1" applyAlignment="1" applyProtection="1">
      <alignment horizontal="left" vertical="top"/>
    </xf>
    <xf numFmtId="167" fontId="5" fillId="3" borderId="0" xfId="8" applyNumberFormat="1" applyFont="1" applyFill="1" applyBorder="1" applyAlignment="1" applyProtection="1">
      <alignment vertical="top"/>
    </xf>
    <xf numFmtId="0" fontId="34" fillId="3" borderId="0" xfId="0" applyFont="1" applyFill="1" applyBorder="1" applyAlignment="1" applyProtection="1">
      <alignment vertical="top"/>
    </xf>
    <xf numFmtId="0" fontId="5" fillId="3" borderId="0" xfId="1" applyFont="1" applyFill="1" applyAlignment="1" applyProtection="1">
      <alignment vertical="top"/>
    </xf>
    <xf numFmtId="0" fontId="5" fillId="3" borderId="0" xfId="0" applyFont="1" applyFill="1" applyAlignment="1" applyProtection="1">
      <alignment vertical="top"/>
    </xf>
    <xf numFmtId="0" fontId="5" fillId="3" borderId="0" xfId="0" applyFont="1" applyFill="1" applyBorder="1" applyAlignment="1" applyProtection="1">
      <alignment vertical="top"/>
    </xf>
    <xf numFmtId="0" fontId="0" fillId="3" borderId="0" xfId="1" applyFont="1" applyFill="1" applyAlignment="1" applyProtection="1">
      <alignment vertical="top"/>
    </xf>
    <xf numFmtId="0" fontId="0" fillId="3" borderId="0" xfId="0" applyFill="1" applyProtection="1"/>
    <xf numFmtId="0" fontId="6" fillId="2" borderId="0" xfId="1" applyFont="1" applyFill="1" applyAlignment="1" applyProtection="1">
      <alignment vertical="center"/>
    </xf>
    <xf numFmtId="0" fontId="3" fillId="4" borderId="0" xfId="1" applyFont="1" applyFill="1" applyAlignment="1" applyProtection="1">
      <alignment vertical="center"/>
    </xf>
    <xf numFmtId="0" fontId="0" fillId="3" borderId="0" xfId="0" applyFill="1" applyBorder="1" applyAlignment="1" applyProtection="1">
      <alignment horizontal="center"/>
    </xf>
    <xf numFmtId="0" fontId="14" fillId="3" borderId="0" xfId="0" applyFont="1" applyFill="1" applyBorder="1" applyProtection="1"/>
    <xf numFmtId="0" fontId="5" fillId="3" borderId="0" xfId="0" applyFont="1" applyFill="1" applyAlignment="1" applyProtection="1">
      <alignment vertical="center"/>
    </xf>
    <xf numFmtId="0" fontId="5" fillId="3" borderId="0" xfId="1" applyFont="1" applyFill="1" applyBorder="1" applyAlignment="1" applyProtection="1">
      <alignment vertical="top" wrapText="1"/>
    </xf>
    <xf numFmtId="0" fontId="5" fillId="3" borderId="0" xfId="1" applyFont="1" applyFill="1" applyBorder="1" applyAlignment="1" applyProtection="1">
      <alignment vertical="top"/>
    </xf>
    <xf numFmtId="0" fontId="8" fillId="2" borderId="0" xfId="1" applyFont="1" applyFill="1" applyAlignment="1" applyProtection="1">
      <alignment vertical="top"/>
    </xf>
    <xf numFmtId="0" fontId="5" fillId="2" borderId="0" xfId="1" applyFont="1" applyFill="1" applyAlignment="1" applyProtection="1">
      <alignment vertical="top"/>
    </xf>
    <xf numFmtId="0" fontId="9" fillId="3" borderId="1" xfId="1" applyFont="1" applyFill="1" applyBorder="1" applyAlignment="1" applyProtection="1">
      <alignment vertical="top"/>
    </xf>
    <xf numFmtId="0" fontId="5" fillId="3" borderId="1" xfId="1" applyFont="1" applyFill="1" applyBorder="1" applyAlignment="1" applyProtection="1">
      <alignment vertical="top"/>
    </xf>
    <xf numFmtId="0" fontId="5" fillId="3" borderId="3" xfId="1" applyFont="1" applyFill="1" applyBorder="1" applyAlignment="1" applyProtection="1">
      <alignment vertical="top" wrapText="1"/>
    </xf>
    <xf numFmtId="0" fontId="5" fillId="3" borderId="3" xfId="1" applyFont="1" applyFill="1" applyBorder="1" applyAlignment="1" applyProtection="1">
      <alignment vertical="top"/>
    </xf>
    <xf numFmtId="0" fontId="0" fillId="3" borderId="0" xfId="0" applyFont="1" applyFill="1" applyAlignment="1" applyProtection="1">
      <alignment vertical="center"/>
    </xf>
    <xf numFmtId="0" fontId="11" fillId="3" borderId="0" xfId="1" applyFont="1" applyFill="1" applyAlignment="1" applyProtection="1">
      <alignment vertical="top"/>
    </xf>
    <xf numFmtId="2" fontId="0" fillId="25" borderId="0" xfId="0" applyNumberFormat="1" applyFill="1" applyProtection="1"/>
    <xf numFmtId="0" fontId="3" fillId="3" borderId="0" xfId="0" applyFont="1" applyFill="1" applyProtection="1"/>
    <xf numFmtId="2" fontId="0" fillId="25" borderId="0" xfId="0" applyNumberFormat="1" applyFont="1" applyFill="1" applyProtection="1"/>
    <xf numFmtId="0" fontId="0" fillId="3" borderId="0" xfId="0" applyFont="1" applyFill="1" applyProtection="1"/>
    <xf numFmtId="10" fontId="0" fillId="25" borderId="0" xfId="3" applyNumberFormat="1" applyFont="1" applyFill="1" applyProtection="1"/>
    <xf numFmtId="0" fontId="3" fillId="3" borderId="0" xfId="11" applyFont="1" applyFill="1" applyBorder="1" applyAlignment="1" applyProtection="1">
      <alignment vertical="center"/>
    </xf>
    <xf numFmtId="0" fontId="0" fillId="3" borderId="0" xfId="0" applyFill="1" applyBorder="1" applyAlignment="1" applyProtection="1">
      <alignment horizontal="center" wrapText="1"/>
    </xf>
    <xf numFmtId="2" fontId="0" fillId="23" borderId="0" xfId="0" applyNumberFormat="1" applyFill="1" applyProtection="1"/>
    <xf numFmtId="0" fontId="1" fillId="3" borderId="0" xfId="0" applyFont="1" applyFill="1" applyProtection="1"/>
    <xf numFmtId="0" fontId="0" fillId="4" borderId="0" xfId="1" applyFont="1" applyFill="1" applyAlignment="1" applyProtection="1">
      <alignment vertical="top"/>
    </xf>
    <xf numFmtId="0" fontId="5" fillId="4" borderId="0" xfId="1" applyFont="1" applyFill="1" applyAlignment="1" applyProtection="1">
      <alignment vertical="top"/>
    </xf>
    <xf numFmtId="0" fontId="5" fillId="3" borderId="0" xfId="0" applyFont="1" applyFill="1" applyBorder="1" applyAlignment="1" applyProtection="1">
      <alignment vertical="center"/>
    </xf>
    <xf numFmtId="0" fontId="0" fillId="3" borderId="0" xfId="0" applyFont="1" applyFill="1" applyBorder="1" applyAlignment="1" applyProtection="1">
      <alignment vertical="center"/>
    </xf>
    <xf numFmtId="0" fontId="3" fillId="5" borderId="0" xfId="0" applyFont="1" applyFill="1" applyAlignment="1" applyProtection="1">
      <alignment vertical="top"/>
    </xf>
    <xf numFmtId="0" fontId="5" fillId="5" borderId="0" xfId="0" applyFont="1" applyFill="1" applyAlignment="1" applyProtection="1">
      <alignment vertical="top"/>
    </xf>
    <xf numFmtId="0" fontId="11" fillId="3" borderId="0" xfId="1" applyFont="1" applyFill="1" applyAlignment="1" applyProtection="1">
      <alignment vertical="top" wrapText="1"/>
    </xf>
    <xf numFmtId="0" fontId="5" fillId="3" borderId="0" xfId="1" applyFont="1" applyFill="1" applyAlignment="1" applyProtection="1">
      <alignment vertical="top" wrapText="1"/>
    </xf>
    <xf numFmtId="0" fontId="0" fillId="3" borderId="0" xfId="1" applyFont="1" applyFill="1" applyAlignment="1" applyProtection="1">
      <alignment vertical="top" wrapText="1"/>
    </xf>
    <xf numFmtId="0" fontId="0" fillId="4" borderId="0" xfId="0" applyFont="1" applyFill="1" applyBorder="1" applyAlignment="1" applyProtection="1">
      <alignment horizontal="left" vertical="top" wrapText="1"/>
    </xf>
    <xf numFmtId="0" fontId="41" fillId="3" borderId="0" xfId="1" applyFont="1" applyFill="1" applyAlignment="1" applyProtection="1">
      <alignment vertical="top"/>
    </xf>
    <xf numFmtId="0" fontId="2" fillId="0" borderId="0" xfId="0" applyFont="1" applyFill="1" applyBorder="1" applyAlignment="1" applyProtection="1">
      <alignment vertical="top"/>
    </xf>
    <xf numFmtId="0" fontId="2" fillId="3" borderId="0" xfId="0" applyFont="1" applyFill="1" applyBorder="1" applyAlignment="1" applyProtection="1">
      <alignment vertical="top"/>
    </xf>
    <xf numFmtId="0" fontId="2" fillId="3" borderId="0"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0" fillId="3" borderId="0" xfId="1" applyFont="1" applyFill="1" applyBorder="1" applyAlignment="1" applyProtection="1">
      <alignment vertical="top"/>
    </xf>
    <xf numFmtId="0" fontId="0" fillId="3" borderId="0" xfId="0" applyFont="1" applyFill="1" applyAlignment="1" applyProtection="1">
      <alignment horizontal="left" vertical="center"/>
    </xf>
    <xf numFmtId="0" fontId="3" fillId="5" borderId="0" xfId="0" applyFont="1" applyFill="1" applyAlignment="1" applyProtection="1">
      <alignment vertical="center" wrapText="1"/>
    </xf>
    <xf numFmtId="0" fontId="3" fillId="3" borderId="0" xfId="0" applyFont="1" applyFill="1" applyBorder="1" applyAlignment="1" applyProtection="1">
      <alignment vertical="top"/>
    </xf>
    <xf numFmtId="0" fontId="3" fillId="3" borderId="0" xfId="0" applyFont="1" applyFill="1" applyBorder="1" applyAlignment="1" applyProtection="1">
      <alignment horizontal="center" vertical="top"/>
    </xf>
    <xf numFmtId="0" fontId="10" fillId="3" borderId="0" xfId="0" applyFont="1" applyFill="1" applyBorder="1" applyAlignment="1" applyProtection="1">
      <alignment horizontal="center" vertical="top"/>
    </xf>
    <xf numFmtId="0" fontId="0" fillId="3" borderId="0" xfId="0" applyFont="1" applyFill="1" applyBorder="1" applyAlignment="1" applyProtection="1">
      <alignment vertical="top"/>
    </xf>
    <xf numFmtId="0" fontId="0" fillId="3" borderId="0" xfId="1" applyFont="1" applyFill="1" applyAlignment="1" applyProtection="1">
      <alignment horizontal="center" vertical="top"/>
    </xf>
    <xf numFmtId="3" fontId="5" fillId="21" borderId="0" xfId="1" applyNumberFormat="1" applyFont="1" applyFill="1" applyAlignment="1" applyProtection="1">
      <alignment vertical="top"/>
    </xf>
    <xf numFmtId="0" fontId="3" fillId="3" borderId="0" xfId="1" applyFont="1" applyFill="1" applyAlignment="1" applyProtection="1">
      <alignment vertical="top"/>
    </xf>
    <xf numFmtId="0" fontId="5" fillId="3" borderId="0" xfId="1" applyFont="1" applyFill="1" applyAlignment="1" applyProtection="1">
      <alignment horizontal="center" vertical="top"/>
    </xf>
    <xf numFmtId="0" fontId="2" fillId="3" borderId="0" xfId="0" applyFont="1" applyFill="1" applyAlignment="1" applyProtection="1">
      <alignment vertical="center"/>
    </xf>
    <xf numFmtId="3" fontId="5" fillId="3" borderId="0" xfId="0" applyNumberFormat="1" applyFont="1" applyFill="1" applyBorder="1" applyAlignment="1" applyProtection="1">
      <alignment horizontal="right" vertical="center"/>
    </xf>
    <xf numFmtId="0" fontId="3" fillId="5" borderId="0" xfId="0" applyFont="1" applyFill="1" applyAlignment="1" applyProtection="1">
      <alignment vertical="center"/>
    </xf>
    <xf numFmtId="0" fontId="11" fillId="3" borderId="0" xfId="1" applyFont="1" applyFill="1" applyBorder="1" applyAlignment="1" applyProtection="1">
      <alignment vertical="top"/>
    </xf>
    <xf numFmtId="0" fontId="0"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5" fillId="3" borderId="0" xfId="0" applyFont="1" applyFill="1" applyBorder="1" applyAlignment="1" applyProtection="1">
      <alignment horizontal="center" vertical="top"/>
    </xf>
    <xf numFmtId="0" fontId="5" fillId="4" borderId="0" xfId="0" applyFont="1" applyFill="1" applyBorder="1" applyAlignment="1" applyProtection="1">
      <alignment horizontal="center" vertical="top"/>
    </xf>
    <xf numFmtId="0" fontId="5" fillId="4" borderId="0" xfId="0" applyFont="1" applyFill="1" applyAlignment="1" applyProtection="1">
      <alignment vertical="top"/>
    </xf>
    <xf numFmtId="4" fontId="5" fillId="3" borderId="0" xfId="0" applyNumberFormat="1" applyFont="1" applyFill="1" applyBorder="1" applyAlignment="1" applyProtection="1">
      <alignment horizontal="center" vertical="top"/>
    </xf>
    <xf numFmtId="0" fontId="5" fillId="3" borderId="0" xfId="0" applyFont="1" applyFill="1" applyBorder="1" applyAlignment="1" applyProtection="1">
      <alignment horizontal="center" vertical="top" wrapText="1"/>
    </xf>
    <xf numFmtId="0" fontId="0" fillId="3" borderId="0" xfId="0" applyFont="1" applyFill="1" applyBorder="1" applyAlignment="1" applyProtection="1">
      <alignment horizontal="center" vertical="top" wrapText="1"/>
    </xf>
    <xf numFmtId="0" fontId="5" fillId="3" borderId="0" xfId="0" applyFont="1" applyFill="1" applyAlignment="1" applyProtection="1">
      <alignment horizontal="center" vertical="center"/>
    </xf>
    <xf numFmtId="0" fontId="1" fillId="3" borderId="0" xfId="0" applyFont="1" applyFill="1" applyAlignment="1" applyProtection="1">
      <alignment vertical="top"/>
    </xf>
    <xf numFmtId="0" fontId="2" fillId="3" borderId="0" xfId="1" applyFont="1" applyFill="1" applyAlignment="1" applyProtection="1">
      <alignment vertical="top"/>
    </xf>
    <xf numFmtId="0" fontId="0" fillId="3" borderId="0" xfId="0" applyFont="1" applyFill="1" applyBorder="1" applyAlignment="1" applyProtection="1">
      <alignment horizontal="left" vertical="top"/>
    </xf>
    <xf numFmtId="0" fontId="3" fillId="5" borderId="0" xfId="0" applyFont="1" applyFill="1" applyAlignment="1" applyProtection="1">
      <alignment wrapText="1"/>
    </xf>
    <xf numFmtId="0" fontId="2" fillId="3" borderId="0" xfId="0" applyFont="1" applyFill="1" applyAlignment="1" applyProtection="1">
      <alignment vertical="top"/>
    </xf>
    <xf numFmtId="0" fontId="0" fillId="3" borderId="0" xfId="0" applyFont="1" applyFill="1" applyAlignment="1" applyProtection="1">
      <alignment vertical="top"/>
    </xf>
    <xf numFmtId="0" fontId="0" fillId="5" borderId="0" xfId="0" applyFont="1" applyFill="1" applyAlignment="1" applyProtection="1">
      <alignment vertical="center"/>
    </xf>
    <xf numFmtId="0" fontId="3" fillId="3" borderId="0" xfId="0" applyFont="1" applyFill="1" applyAlignment="1" applyProtection="1">
      <alignment vertical="center"/>
    </xf>
    <xf numFmtId="0" fontId="14" fillId="3" borderId="0" xfId="0" applyFont="1" applyFill="1" applyAlignment="1" applyProtection="1">
      <alignment vertical="top"/>
    </xf>
    <xf numFmtId="0" fontId="14" fillId="3" borderId="0" xfId="0" applyFont="1" applyFill="1" applyBorder="1" applyAlignment="1" applyProtection="1">
      <alignment vertical="top"/>
    </xf>
    <xf numFmtId="0" fontId="5" fillId="3" borderId="0" xfId="1" applyFont="1" applyFill="1" applyAlignment="1">
      <alignment horizontal="left" vertical="top" wrapText="1"/>
    </xf>
    <xf numFmtId="0" fontId="5" fillId="3" borderId="0" xfId="1" applyFont="1" applyFill="1" applyAlignment="1">
      <alignment horizontal="left" vertical="top"/>
    </xf>
    <xf numFmtId="0" fontId="2" fillId="3" borderId="0" xfId="0" applyFont="1" applyFill="1" applyAlignment="1">
      <alignment horizontal="left" vertical="top" wrapText="1"/>
    </xf>
    <xf numFmtId="0" fontId="2" fillId="3" borderId="0" xfId="0" applyFont="1" applyFill="1" applyAlignment="1">
      <alignment horizontal="center" vertical="top" wrapText="1"/>
    </xf>
    <xf numFmtId="0" fontId="0" fillId="3" borderId="0" xfId="1" quotePrefix="1" applyFont="1" applyFill="1" applyAlignment="1">
      <alignment horizontal="left" vertical="top" wrapText="1"/>
    </xf>
    <xf numFmtId="0" fontId="0" fillId="3" borderId="0" xfId="1" applyFont="1" applyFill="1" applyAlignment="1">
      <alignment horizontal="left" vertical="top" wrapText="1"/>
    </xf>
    <xf numFmtId="0" fontId="5" fillId="4" borderId="6" xfId="1" applyFont="1" applyFill="1" applyBorder="1" applyAlignment="1" applyProtection="1">
      <alignment horizontal="left" vertical="top"/>
      <protection locked="0"/>
    </xf>
    <xf numFmtId="0" fontId="5" fillId="4" borderId="4" xfId="1" applyFont="1" applyFill="1" applyBorder="1" applyAlignment="1" applyProtection="1">
      <alignment horizontal="left" vertical="top"/>
      <protection locked="0"/>
    </xf>
    <xf numFmtId="0" fontId="0" fillId="3" borderId="0" xfId="1"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top"/>
    </xf>
    <xf numFmtId="0" fontId="0" fillId="3" borderId="0" xfId="1" applyFont="1" applyFill="1" applyAlignment="1" applyProtection="1">
      <alignment horizontal="left" vertical="top" wrapText="1"/>
    </xf>
    <xf numFmtId="0" fontId="0" fillId="3" borderId="0" xfId="0" applyFont="1" applyFill="1" applyAlignment="1" applyProtection="1">
      <alignment horizontal="left" vertical="center" wrapText="1"/>
    </xf>
    <xf numFmtId="0" fontId="0" fillId="3" borderId="7" xfId="0" applyFont="1" applyFill="1" applyBorder="1" applyAlignment="1" applyProtection="1">
      <alignment horizontal="left" vertical="center" wrapText="1"/>
    </xf>
    <xf numFmtId="0" fontId="3" fillId="5" borderId="0" xfId="0" applyFont="1" applyFill="1" applyAlignment="1" applyProtection="1">
      <alignment horizontal="left" vertical="center" wrapText="1"/>
    </xf>
    <xf numFmtId="9" fontId="2" fillId="4" borderId="6" xfId="3" applyFont="1" applyFill="1" applyBorder="1" applyAlignment="1" applyProtection="1">
      <alignment horizontal="center" vertical="top"/>
      <protection locked="0"/>
    </xf>
    <xf numFmtId="9" fontId="2" fillId="4" borderId="5" xfId="3" applyFont="1" applyFill="1" applyBorder="1" applyAlignment="1" applyProtection="1">
      <alignment horizontal="center" vertical="top"/>
      <protection locked="0"/>
    </xf>
    <xf numFmtId="9" fontId="2" fillId="4" borderId="4" xfId="3" applyFont="1" applyFill="1" applyBorder="1" applyAlignment="1" applyProtection="1">
      <alignment horizontal="center" vertical="top"/>
      <protection locked="0"/>
    </xf>
    <xf numFmtId="3" fontId="0" fillId="3" borderId="0" xfId="0" applyNumberFormat="1" applyFont="1" applyFill="1" applyBorder="1" applyAlignment="1">
      <alignment horizontal="left" vertical="center" wrapText="1"/>
    </xf>
    <xf numFmtId="0" fontId="5" fillId="3" borderId="0" xfId="1" applyFont="1" applyFill="1" applyAlignment="1">
      <alignment horizontal="center"/>
    </xf>
    <xf numFmtId="0" fontId="2" fillId="3" borderId="0" xfId="1" quotePrefix="1" applyFont="1" applyFill="1" applyAlignment="1">
      <alignment horizontal="left" vertical="top" wrapText="1"/>
    </xf>
    <xf numFmtId="0" fontId="2" fillId="3" borderId="0" xfId="1" applyFont="1" applyFill="1" applyAlignment="1">
      <alignment horizontal="left" vertical="top" wrapText="1"/>
    </xf>
    <xf numFmtId="0" fontId="6" fillId="2" borderId="0" xfId="1" applyFont="1" applyFill="1" applyAlignment="1">
      <alignment horizontal="left" vertical="center"/>
    </xf>
    <xf numFmtId="0" fontId="1" fillId="3" borderId="0" xfId="1" applyFont="1" applyFill="1" applyAlignment="1">
      <alignment horizontal="left" vertical="top" wrapText="1"/>
    </xf>
    <xf numFmtId="0" fontId="30" fillId="4" borderId="0" xfId="0" applyFont="1" applyFill="1" applyBorder="1" applyAlignment="1">
      <alignment horizontal="center" vertical="top"/>
    </xf>
    <xf numFmtId="0" fontId="30" fillId="4" borderId="0" xfId="0" applyFont="1" applyFill="1" applyBorder="1" applyAlignment="1">
      <alignment horizontal="left" vertical="top"/>
    </xf>
    <xf numFmtId="0" fontId="5" fillId="3" borderId="0" xfId="0" applyFont="1" applyFill="1" applyBorder="1" applyAlignment="1">
      <alignment horizontal="left" vertical="center"/>
    </xf>
    <xf numFmtId="0" fontId="1" fillId="3" borderId="0" xfId="1" applyFont="1" applyFill="1" applyAlignment="1">
      <alignment horizontal="left" wrapText="1"/>
    </xf>
  </cellXfs>
  <cellStyles count="13">
    <cellStyle name="40 % - Akzent6" xfId="11" builtinId="51"/>
    <cellStyle name="60 % - Akzent4" xfId="5" builtinId="44"/>
    <cellStyle name="Komma 2" xfId="8"/>
    <cellStyle name="Komma 2 2" xfId="12"/>
    <cellStyle name="Normale 2" xfId="10"/>
    <cellStyle name="Percent 2" xfId="7"/>
    <cellStyle name="Prozent" xfId="3" builtinId="5"/>
    <cellStyle name="Prozent 2" xfId="2"/>
    <cellStyle name="Prozent 3" xfId="6"/>
    <cellStyle name="Standard" xfId="0" builtinId="0"/>
    <cellStyle name="Standard 2" xfId="1"/>
    <cellStyle name="Standard 3" xfId="4"/>
    <cellStyle name="Währung 2" xfId="9"/>
  </cellStyles>
  <dxfs count="61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dxf>
    <dxf>
      <font>
        <color theme="0"/>
      </font>
      <fill>
        <patternFill>
          <bgColor theme="0"/>
        </patternFill>
      </fill>
    </dxf>
    <dxf>
      <fill>
        <patternFill>
          <bgColor theme="0" tint="-4.9989318521683403E-2"/>
        </patternFill>
      </fill>
    </dxf>
  </dxfs>
  <tableStyles count="0" defaultTableStyle="TableStyleMedium2" defaultPivotStyle="PivotStyleLight16"/>
  <colors>
    <mruColors>
      <color rgb="FF72BF44"/>
      <color rgb="FF27BBA2"/>
      <color rgb="FF44546A"/>
      <color rgb="FFE1DE2F"/>
      <color rgb="FFFAA61A"/>
      <color rgb="FF77777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'What if'!$B$8</c:f>
          <c:strCache>
            <c:ptCount val="1"/>
            <c:pt idx="0">
              <c:v>Environmental costs by stage</c:v>
            </c:pt>
          </c:strCache>
        </c:strRef>
      </c:tx>
      <c:layout>
        <c:manualLayout>
          <c:xMode val="edge"/>
          <c:yMode val="edge"/>
          <c:x val="0.37556138254663307"/>
          <c:y val="3.4837688044338878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2"/>
              </a:solidFill>
              <a:latin typeface="+mn-lt"/>
              <a:ea typeface="+mn-ea"/>
              <a:cs typeface="+mn-cs"/>
            </a:defRPr>
          </a:pPr>
          <a:endParaRPr lang="de-DE"/>
        </a:p>
      </c:txPr>
    </c:title>
    <c:autoTitleDeleted val="0"/>
    <c:plotArea>
      <c:layout>
        <c:manualLayout>
          <c:layoutTarget val="inner"/>
          <c:xMode val="edge"/>
          <c:yMode val="edge"/>
          <c:x val="0.4489513784161373"/>
          <c:y val="0.22443575788180872"/>
          <c:w val="0.50739197615701326"/>
          <c:h val="0.65658554044380801"/>
        </c:manualLayout>
      </c:layout>
      <c:barChart>
        <c:barDir val="bar"/>
        <c:grouping val="stacked"/>
        <c:varyColors val="0"/>
        <c:ser>
          <c:idx val="0"/>
          <c:order val="0"/>
          <c:tx>
            <c:strRef>
              <c:f>'What if'!$D$12</c:f>
              <c:strCache>
                <c:ptCount val="1"/>
                <c:pt idx="0">
                  <c:v>Material flows</c:v>
                </c:pt>
              </c:strCache>
            </c:strRef>
          </c:tx>
          <c:spPr>
            <a:solidFill>
              <a:schemeClr val="accent1"/>
            </a:solidFill>
            <a:ln w="19050">
              <a:solidFill>
                <a:schemeClr val="lt1"/>
              </a:solidFill>
            </a:ln>
            <a:effectLst/>
          </c:spPr>
          <c:invertIfNegative val="0"/>
          <c:dPt>
            <c:idx val="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5353-4C64-9F13-2AF501ED732F}"/>
              </c:ext>
            </c:extLst>
          </c:dPt>
          <c:dPt>
            <c:idx val="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5353-4C64-9F13-2AF501ED732F}"/>
              </c:ext>
            </c:extLst>
          </c:dPt>
          <c:dPt>
            <c:idx val="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5353-4C64-9F13-2AF501ED732F}"/>
              </c:ext>
            </c:extLst>
          </c:dPt>
          <c:dPt>
            <c:idx val="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5353-4C64-9F13-2AF501ED732F}"/>
              </c:ext>
            </c:extLst>
          </c:dPt>
          <c:dPt>
            <c:idx val="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5353-4C64-9F13-2AF501ED732F}"/>
              </c:ext>
            </c:extLst>
          </c:dPt>
          <c:dPt>
            <c:idx val="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5353-4C64-9F13-2AF501ED732F}"/>
              </c:ext>
            </c:extLst>
          </c:dPt>
          <c:dPt>
            <c:idx val="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5353-4C64-9F13-2AF501ED732F}"/>
              </c:ext>
            </c:extLst>
          </c:dPt>
          <c:dPt>
            <c:idx val="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5353-4C64-9F13-2AF501ED732F}"/>
              </c:ext>
            </c:extLst>
          </c:dPt>
          <c:dPt>
            <c:idx val="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5353-4C64-9F13-2AF501ED732F}"/>
              </c:ext>
            </c:extLst>
          </c:dPt>
          <c:dPt>
            <c:idx val="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5353-4C64-9F13-2AF501ED732F}"/>
              </c:ext>
            </c:extLst>
          </c:dPt>
          <c:dPt>
            <c:idx val="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5-5353-4C64-9F13-2AF501ED732F}"/>
              </c:ext>
            </c:extLst>
          </c:dPt>
          <c:dPt>
            <c:idx val="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7-5353-4C64-9F13-2AF501ED732F}"/>
              </c:ext>
            </c:extLst>
          </c:dPt>
          <c:dPt>
            <c:idx val="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9-5353-4C64-9F13-2AF501ED732F}"/>
              </c:ext>
            </c:extLst>
          </c:dPt>
          <c:dPt>
            <c:idx val="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B-5353-4C64-9F13-2AF501ED732F}"/>
              </c:ext>
            </c:extLst>
          </c:dPt>
          <c:dPt>
            <c:idx val="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D-5353-4C64-9F13-2AF501ED732F}"/>
              </c:ext>
            </c:extLst>
          </c:dPt>
          <c:dPt>
            <c:idx val="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F-5353-4C64-9F13-2AF501ED732F}"/>
              </c:ext>
            </c:extLst>
          </c:dPt>
          <c:dPt>
            <c:idx val="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1-5353-4C64-9F13-2AF501ED732F}"/>
              </c:ext>
            </c:extLst>
          </c:dPt>
          <c:dPt>
            <c:idx val="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3-5353-4C64-9F13-2AF501ED732F}"/>
              </c:ext>
            </c:extLst>
          </c:dPt>
          <c:dPt>
            <c:idx val="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5-5353-4C64-9F13-2AF501ED732F}"/>
              </c:ext>
            </c:extLst>
          </c:dPt>
          <c:dPt>
            <c:idx val="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7-5353-4C64-9F13-2AF501ED732F}"/>
              </c:ext>
            </c:extLst>
          </c:dPt>
          <c:dPt>
            <c:idx val="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9-5353-4C64-9F13-2AF501ED732F}"/>
              </c:ext>
            </c:extLst>
          </c:dPt>
          <c:dPt>
            <c:idx val="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B-5353-4C64-9F13-2AF501ED732F}"/>
              </c:ext>
            </c:extLst>
          </c:dPt>
          <c:dPt>
            <c:idx val="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D-5353-4C64-9F13-2AF501ED732F}"/>
              </c:ext>
            </c:extLst>
          </c:dPt>
          <c:dPt>
            <c:idx val="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F-5353-4C64-9F13-2AF501ED732F}"/>
              </c:ext>
            </c:extLst>
          </c:dPt>
          <c:dPt>
            <c:idx val="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1-5353-4C64-9F13-2AF501ED732F}"/>
              </c:ext>
            </c:extLst>
          </c:dPt>
          <c:dPt>
            <c:idx val="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3-5353-4C64-9F13-2AF501ED732F}"/>
              </c:ext>
            </c:extLst>
          </c:dPt>
          <c:dPt>
            <c:idx val="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5-5353-4C64-9F13-2AF501ED732F}"/>
              </c:ext>
            </c:extLst>
          </c:dPt>
          <c:dPt>
            <c:idx val="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7-5353-4C64-9F13-2AF501ED732F}"/>
              </c:ext>
            </c:extLst>
          </c:dPt>
          <c:dPt>
            <c:idx val="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9-5353-4C64-9F13-2AF501ED732F}"/>
              </c:ext>
            </c:extLst>
          </c:dPt>
          <c:dPt>
            <c:idx val="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B-5353-4C64-9F13-2AF501ED732F}"/>
              </c:ext>
            </c:extLst>
          </c:dPt>
          <c:dPt>
            <c:idx val="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D-5353-4C64-9F13-2AF501ED732F}"/>
              </c:ext>
            </c:extLst>
          </c:dPt>
          <c:dPt>
            <c:idx val="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F-5353-4C64-9F13-2AF501ED732F}"/>
              </c:ext>
            </c:extLst>
          </c:dPt>
          <c:dPt>
            <c:idx val="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1-5353-4C64-9F13-2AF501ED732F}"/>
              </c:ext>
            </c:extLst>
          </c:dPt>
          <c:dPt>
            <c:idx val="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3-5353-4C64-9F13-2AF501ED732F}"/>
              </c:ext>
            </c:extLst>
          </c:dPt>
          <c:dPt>
            <c:idx val="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5-5353-4C64-9F13-2AF501ED732F}"/>
              </c:ext>
            </c:extLst>
          </c:dPt>
          <c:dPt>
            <c:idx val="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7-5353-4C64-9F13-2AF501ED732F}"/>
              </c:ext>
            </c:extLst>
          </c:dPt>
          <c:dPt>
            <c:idx val="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9-5353-4C64-9F13-2AF501ED732F}"/>
              </c:ext>
            </c:extLst>
          </c:dPt>
          <c:dPt>
            <c:idx val="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B-5353-4C64-9F13-2AF501ED732F}"/>
              </c:ext>
            </c:extLst>
          </c:dPt>
          <c:dPt>
            <c:idx val="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D-5353-4C64-9F13-2AF501ED732F}"/>
              </c:ext>
            </c:extLst>
          </c:dPt>
          <c:dPt>
            <c:idx val="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F-5353-4C64-9F13-2AF501ED732F}"/>
              </c:ext>
            </c:extLst>
          </c:dPt>
          <c:dPt>
            <c:idx val="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1-5353-4C64-9F13-2AF501ED732F}"/>
              </c:ext>
            </c:extLst>
          </c:dPt>
          <c:dPt>
            <c:idx val="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3-5353-4C64-9F13-2AF501ED732F}"/>
              </c:ext>
            </c:extLst>
          </c:dPt>
          <c:dPt>
            <c:idx val="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5-5353-4C64-9F13-2AF501ED732F}"/>
              </c:ext>
            </c:extLst>
          </c:dPt>
          <c:dPt>
            <c:idx val="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7-5353-4C64-9F13-2AF501ED732F}"/>
              </c:ext>
            </c:extLst>
          </c:dPt>
          <c:dPt>
            <c:idx val="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9-5353-4C64-9F13-2AF501ED732F}"/>
              </c:ext>
            </c:extLst>
          </c:dPt>
          <c:dPt>
            <c:idx val="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B-5353-4C64-9F13-2AF501ED732F}"/>
              </c:ext>
            </c:extLst>
          </c:dPt>
          <c:dPt>
            <c:idx val="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D-5353-4C64-9F13-2AF501ED732F}"/>
              </c:ext>
            </c:extLst>
          </c:dPt>
          <c:dPt>
            <c:idx val="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F-5353-4C64-9F13-2AF501ED732F}"/>
              </c:ext>
            </c:extLst>
          </c:dPt>
          <c:dPt>
            <c:idx val="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1-5353-4C64-9F13-2AF501ED732F}"/>
              </c:ext>
            </c:extLst>
          </c:dPt>
          <c:dPt>
            <c:idx val="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3-5353-4C64-9F13-2AF501ED732F}"/>
              </c:ext>
            </c:extLst>
          </c:dPt>
          <c:dPt>
            <c:idx val="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5-5353-4C64-9F13-2AF501ED732F}"/>
              </c:ext>
            </c:extLst>
          </c:dPt>
          <c:dPt>
            <c:idx val="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7-5353-4C64-9F13-2AF501ED732F}"/>
              </c:ext>
            </c:extLst>
          </c:dPt>
          <c:dPt>
            <c:idx val="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9-5353-4C64-9F13-2AF501ED732F}"/>
              </c:ext>
            </c:extLst>
          </c:dPt>
          <c:dPt>
            <c:idx val="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B-5353-4C64-9F13-2AF501ED732F}"/>
              </c:ext>
            </c:extLst>
          </c:dPt>
          <c:dPt>
            <c:idx val="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D-5353-4C64-9F13-2AF501ED732F}"/>
              </c:ext>
            </c:extLst>
          </c:dPt>
          <c:dPt>
            <c:idx val="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F-5353-4C64-9F13-2AF501ED732F}"/>
              </c:ext>
            </c:extLst>
          </c:dPt>
          <c:dPt>
            <c:idx val="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1-5353-4C64-9F13-2AF501ED732F}"/>
              </c:ext>
            </c:extLst>
          </c:dPt>
          <c:dPt>
            <c:idx val="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3-5353-4C64-9F13-2AF501ED732F}"/>
              </c:ext>
            </c:extLst>
          </c:dPt>
          <c:dPt>
            <c:idx val="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5-5353-4C64-9F13-2AF501ED732F}"/>
              </c:ext>
            </c:extLst>
          </c:dPt>
          <c:dPt>
            <c:idx val="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7-5353-4C64-9F13-2AF501ED732F}"/>
              </c:ext>
            </c:extLst>
          </c:dPt>
          <c:dPt>
            <c:idx val="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9-5353-4C64-9F13-2AF501ED732F}"/>
              </c:ext>
            </c:extLst>
          </c:dPt>
          <c:dPt>
            <c:idx val="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B-5353-4C64-9F13-2AF501ED732F}"/>
              </c:ext>
            </c:extLst>
          </c:dPt>
          <c:dPt>
            <c:idx val="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D-5353-4C64-9F13-2AF501ED732F}"/>
              </c:ext>
            </c:extLst>
          </c:dPt>
          <c:dPt>
            <c:idx val="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F-5353-4C64-9F13-2AF501ED732F}"/>
              </c:ext>
            </c:extLst>
          </c:dPt>
          <c:dPt>
            <c:idx val="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1-5353-4C64-9F13-2AF501ED732F}"/>
              </c:ext>
            </c:extLst>
          </c:dPt>
          <c:dPt>
            <c:idx val="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3-5353-4C64-9F13-2AF501ED732F}"/>
              </c:ext>
            </c:extLst>
          </c:dPt>
          <c:dPt>
            <c:idx val="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5-5353-4C64-9F13-2AF501ED732F}"/>
              </c:ext>
            </c:extLst>
          </c:dPt>
          <c:dPt>
            <c:idx val="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7-5353-4C64-9F13-2AF501ED732F}"/>
              </c:ext>
            </c:extLst>
          </c:dPt>
          <c:dPt>
            <c:idx val="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9-5353-4C64-9F13-2AF501ED732F}"/>
              </c:ext>
            </c:extLst>
          </c:dPt>
          <c:dPt>
            <c:idx val="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B-5353-4C64-9F13-2AF501ED732F}"/>
              </c:ext>
            </c:extLst>
          </c:dPt>
          <c:dPt>
            <c:idx val="8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D-5353-4C64-9F13-2AF501ED732F}"/>
              </c:ext>
            </c:extLst>
          </c:dPt>
          <c:dPt>
            <c:idx val="8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F-5353-4C64-9F13-2AF501ED732F}"/>
              </c:ext>
            </c:extLst>
          </c:dPt>
          <c:dPt>
            <c:idx val="8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1-5353-4C64-9F13-2AF501ED732F}"/>
              </c:ext>
            </c:extLst>
          </c:dPt>
          <c:dPt>
            <c:idx val="8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3-5353-4C64-9F13-2AF501ED732F}"/>
              </c:ext>
            </c:extLst>
          </c:dPt>
          <c:dPt>
            <c:idx val="8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5-5353-4C64-9F13-2AF501ED732F}"/>
              </c:ext>
            </c:extLst>
          </c:dPt>
          <c:dPt>
            <c:idx val="8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7-5353-4C64-9F13-2AF501ED732F}"/>
              </c:ext>
            </c:extLst>
          </c:dPt>
          <c:dPt>
            <c:idx val="8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9-5353-4C64-9F13-2AF501ED732F}"/>
              </c:ext>
            </c:extLst>
          </c:dPt>
          <c:dPt>
            <c:idx val="8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B-5353-4C64-9F13-2AF501ED732F}"/>
              </c:ext>
            </c:extLst>
          </c:dPt>
          <c:dPt>
            <c:idx val="8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D-5353-4C64-9F13-2AF501ED732F}"/>
              </c:ext>
            </c:extLst>
          </c:dPt>
          <c:dPt>
            <c:idx val="9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F-5353-4C64-9F13-2AF501ED732F}"/>
              </c:ext>
            </c:extLst>
          </c:dPt>
          <c:dPt>
            <c:idx val="9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1-5353-4C64-9F13-2AF501ED732F}"/>
              </c:ext>
            </c:extLst>
          </c:dPt>
          <c:dPt>
            <c:idx val="9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3-5353-4C64-9F13-2AF501ED732F}"/>
              </c:ext>
            </c:extLst>
          </c:dPt>
          <c:dPt>
            <c:idx val="9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5-5353-4C64-9F13-2AF501ED732F}"/>
              </c:ext>
            </c:extLst>
          </c:dPt>
          <c:dPt>
            <c:idx val="9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7-5353-4C64-9F13-2AF501ED732F}"/>
              </c:ext>
            </c:extLst>
          </c:dPt>
          <c:dPt>
            <c:idx val="9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9-5353-4C64-9F13-2AF501ED732F}"/>
              </c:ext>
            </c:extLst>
          </c:dPt>
          <c:dPt>
            <c:idx val="9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B-5353-4C64-9F13-2AF501ED732F}"/>
              </c:ext>
            </c:extLst>
          </c:dPt>
          <c:dPt>
            <c:idx val="9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D-5353-4C64-9F13-2AF501ED732F}"/>
              </c:ext>
            </c:extLst>
          </c:dPt>
          <c:dPt>
            <c:idx val="9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F-5353-4C64-9F13-2AF501ED732F}"/>
              </c:ext>
            </c:extLst>
          </c:dPt>
          <c:dPt>
            <c:idx val="9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1-5353-4C64-9F13-2AF501ED732F}"/>
              </c:ext>
            </c:extLst>
          </c:dPt>
          <c:dPt>
            <c:idx val="10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3-5353-4C64-9F13-2AF501ED732F}"/>
              </c:ext>
            </c:extLst>
          </c:dPt>
          <c:dPt>
            <c:idx val="10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5-5353-4C64-9F13-2AF501ED732F}"/>
              </c:ext>
            </c:extLst>
          </c:dPt>
          <c:dPt>
            <c:idx val="10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7-5353-4C64-9F13-2AF501ED732F}"/>
              </c:ext>
            </c:extLst>
          </c:dPt>
          <c:dPt>
            <c:idx val="10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9-5353-4C64-9F13-2AF501ED732F}"/>
              </c:ext>
            </c:extLst>
          </c:dPt>
          <c:dPt>
            <c:idx val="10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B-5353-4C64-9F13-2AF501ED732F}"/>
              </c:ext>
            </c:extLst>
          </c:dPt>
          <c:dPt>
            <c:idx val="10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D-5353-4C64-9F13-2AF501ED732F}"/>
              </c:ext>
            </c:extLst>
          </c:dPt>
          <c:dPt>
            <c:idx val="10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F-5353-4C64-9F13-2AF501ED732F}"/>
              </c:ext>
            </c:extLst>
          </c:dPt>
          <c:dPt>
            <c:idx val="10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1-5353-4C64-9F13-2AF501ED732F}"/>
              </c:ext>
            </c:extLst>
          </c:dPt>
          <c:dPt>
            <c:idx val="10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3-5353-4C64-9F13-2AF501ED732F}"/>
              </c:ext>
            </c:extLst>
          </c:dPt>
          <c:dPt>
            <c:idx val="10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5-5353-4C64-9F13-2AF501ED732F}"/>
              </c:ext>
            </c:extLst>
          </c:dPt>
          <c:dPt>
            <c:idx val="11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7-5353-4C64-9F13-2AF501ED732F}"/>
              </c:ext>
            </c:extLst>
          </c:dPt>
          <c:dPt>
            <c:idx val="1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9-5353-4C64-9F13-2AF501ED732F}"/>
              </c:ext>
            </c:extLst>
          </c:dPt>
          <c:dPt>
            <c:idx val="1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B-5353-4C64-9F13-2AF501ED732F}"/>
              </c:ext>
            </c:extLst>
          </c:dPt>
          <c:dPt>
            <c:idx val="1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D-5353-4C64-9F13-2AF501ED732F}"/>
              </c:ext>
            </c:extLst>
          </c:dPt>
          <c:dPt>
            <c:idx val="1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F-5353-4C64-9F13-2AF501ED732F}"/>
              </c:ext>
            </c:extLst>
          </c:dPt>
          <c:dPt>
            <c:idx val="1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1-5353-4C64-9F13-2AF501ED732F}"/>
              </c:ext>
            </c:extLst>
          </c:dPt>
          <c:dPt>
            <c:idx val="1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3-5353-4C64-9F13-2AF501ED732F}"/>
              </c:ext>
            </c:extLst>
          </c:dPt>
          <c:dPt>
            <c:idx val="1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5-5353-4C64-9F13-2AF501ED732F}"/>
              </c:ext>
            </c:extLst>
          </c:dPt>
          <c:dPt>
            <c:idx val="1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7-5353-4C64-9F13-2AF501ED732F}"/>
              </c:ext>
            </c:extLst>
          </c:dPt>
          <c:dPt>
            <c:idx val="1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9-5353-4C64-9F13-2AF501ED732F}"/>
              </c:ext>
            </c:extLst>
          </c:dPt>
          <c:dPt>
            <c:idx val="1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B-5353-4C64-9F13-2AF501ED732F}"/>
              </c:ext>
            </c:extLst>
          </c:dPt>
          <c:dPt>
            <c:idx val="1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D-5353-4C64-9F13-2AF501ED732F}"/>
              </c:ext>
            </c:extLst>
          </c:dPt>
          <c:dPt>
            <c:idx val="1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F-5353-4C64-9F13-2AF501ED732F}"/>
              </c:ext>
            </c:extLst>
          </c:dPt>
          <c:dPt>
            <c:idx val="1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1-5353-4C64-9F13-2AF501ED732F}"/>
              </c:ext>
            </c:extLst>
          </c:dPt>
          <c:dPt>
            <c:idx val="1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3-5353-4C64-9F13-2AF501ED732F}"/>
              </c:ext>
            </c:extLst>
          </c:dPt>
          <c:dPt>
            <c:idx val="1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5-5353-4C64-9F13-2AF501ED732F}"/>
              </c:ext>
            </c:extLst>
          </c:dPt>
          <c:dPt>
            <c:idx val="1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7-5353-4C64-9F13-2AF501ED732F}"/>
              </c:ext>
            </c:extLst>
          </c:dPt>
          <c:dPt>
            <c:idx val="1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9-5353-4C64-9F13-2AF501ED732F}"/>
              </c:ext>
            </c:extLst>
          </c:dPt>
          <c:dPt>
            <c:idx val="1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B-5353-4C64-9F13-2AF501ED732F}"/>
              </c:ext>
            </c:extLst>
          </c:dPt>
          <c:dPt>
            <c:idx val="1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D-5353-4C64-9F13-2AF501ED732F}"/>
              </c:ext>
            </c:extLst>
          </c:dPt>
          <c:dPt>
            <c:idx val="1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F-5353-4C64-9F13-2AF501ED732F}"/>
              </c:ext>
            </c:extLst>
          </c:dPt>
          <c:dPt>
            <c:idx val="1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1-5353-4C64-9F13-2AF501ED732F}"/>
              </c:ext>
            </c:extLst>
          </c:dPt>
          <c:dPt>
            <c:idx val="1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3-5353-4C64-9F13-2AF501ED732F}"/>
              </c:ext>
            </c:extLst>
          </c:dPt>
          <c:dPt>
            <c:idx val="1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5-5353-4C64-9F13-2AF501ED732F}"/>
              </c:ext>
            </c:extLst>
          </c:dPt>
          <c:dPt>
            <c:idx val="1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7-5353-4C64-9F13-2AF501ED732F}"/>
              </c:ext>
            </c:extLst>
          </c:dPt>
          <c:dPt>
            <c:idx val="1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9-5353-4C64-9F13-2AF501ED732F}"/>
              </c:ext>
            </c:extLst>
          </c:dPt>
          <c:dPt>
            <c:idx val="1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B-5353-4C64-9F13-2AF501ED732F}"/>
              </c:ext>
            </c:extLst>
          </c:dPt>
          <c:dPt>
            <c:idx val="1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D-5353-4C64-9F13-2AF501ED732F}"/>
              </c:ext>
            </c:extLst>
          </c:dPt>
          <c:dPt>
            <c:idx val="1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F-5353-4C64-9F13-2AF501ED732F}"/>
              </c:ext>
            </c:extLst>
          </c:dPt>
          <c:dPt>
            <c:idx val="1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1-5353-4C64-9F13-2AF501ED732F}"/>
              </c:ext>
            </c:extLst>
          </c:dPt>
          <c:dPt>
            <c:idx val="1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3-5353-4C64-9F13-2AF501ED732F}"/>
              </c:ext>
            </c:extLst>
          </c:dPt>
          <c:dPt>
            <c:idx val="1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5-5353-4C64-9F13-2AF501ED732F}"/>
              </c:ext>
            </c:extLst>
          </c:dPt>
          <c:dPt>
            <c:idx val="1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7-5353-4C64-9F13-2AF501ED732F}"/>
              </c:ext>
            </c:extLst>
          </c:dPt>
          <c:dPt>
            <c:idx val="1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9-5353-4C64-9F13-2AF501ED732F}"/>
              </c:ext>
            </c:extLst>
          </c:dPt>
          <c:dPt>
            <c:idx val="1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B-5353-4C64-9F13-2AF501ED732F}"/>
              </c:ext>
            </c:extLst>
          </c:dPt>
          <c:dPt>
            <c:idx val="1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D-5353-4C64-9F13-2AF501ED732F}"/>
              </c:ext>
            </c:extLst>
          </c:dPt>
          <c:dPt>
            <c:idx val="1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F-5353-4C64-9F13-2AF501ED732F}"/>
              </c:ext>
            </c:extLst>
          </c:dPt>
          <c:dPt>
            <c:idx val="1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1-5353-4C64-9F13-2AF501ED732F}"/>
              </c:ext>
            </c:extLst>
          </c:dPt>
          <c:dPt>
            <c:idx val="1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3-5353-4C64-9F13-2AF501ED732F}"/>
              </c:ext>
            </c:extLst>
          </c:dPt>
          <c:dPt>
            <c:idx val="1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5-5353-4C64-9F13-2AF501ED732F}"/>
              </c:ext>
            </c:extLst>
          </c:dPt>
          <c:dPt>
            <c:idx val="1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7-5353-4C64-9F13-2AF501ED732F}"/>
              </c:ext>
            </c:extLst>
          </c:dPt>
          <c:dPt>
            <c:idx val="1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9-5353-4C64-9F13-2AF501ED732F}"/>
              </c:ext>
            </c:extLst>
          </c:dPt>
          <c:dPt>
            <c:idx val="1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B-5353-4C64-9F13-2AF501ED732F}"/>
              </c:ext>
            </c:extLst>
          </c:dPt>
          <c:dPt>
            <c:idx val="1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D-5353-4C64-9F13-2AF501ED732F}"/>
              </c:ext>
            </c:extLst>
          </c:dPt>
          <c:dPt>
            <c:idx val="1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F-5353-4C64-9F13-2AF501ED732F}"/>
              </c:ext>
            </c:extLst>
          </c:dPt>
          <c:dPt>
            <c:idx val="1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1-5353-4C64-9F13-2AF501ED732F}"/>
              </c:ext>
            </c:extLst>
          </c:dPt>
          <c:dPt>
            <c:idx val="1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3-5353-4C64-9F13-2AF501ED732F}"/>
              </c:ext>
            </c:extLst>
          </c:dPt>
          <c:dPt>
            <c:idx val="1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5-5353-4C64-9F13-2AF501ED732F}"/>
              </c:ext>
            </c:extLst>
          </c:dPt>
          <c:dPt>
            <c:idx val="1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7-5353-4C64-9F13-2AF501ED732F}"/>
              </c:ext>
            </c:extLst>
          </c:dPt>
          <c:dPt>
            <c:idx val="1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9-5353-4C64-9F13-2AF501ED732F}"/>
              </c:ext>
            </c:extLst>
          </c:dPt>
          <c:dPt>
            <c:idx val="1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B-5353-4C64-9F13-2AF501ED732F}"/>
              </c:ext>
            </c:extLst>
          </c:dPt>
          <c:dPt>
            <c:idx val="1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D-5353-4C64-9F13-2AF501ED732F}"/>
              </c:ext>
            </c:extLst>
          </c:dPt>
          <c:dPt>
            <c:idx val="1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F-5353-4C64-9F13-2AF501ED732F}"/>
              </c:ext>
            </c:extLst>
          </c:dPt>
          <c:dPt>
            <c:idx val="1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1-5353-4C64-9F13-2AF501ED732F}"/>
              </c:ext>
            </c:extLst>
          </c:dPt>
          <c:dPt>
            <c:idx val="1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3-5353-4C64-9F13-2AF501ED732F}"/>
              </c:ext>
            </c:extLst>
          </c:dPt>
          <c:dPt>
            <c:idx val="1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5-5353-4C64-9F13-2AF501ED732F}"/>
              </c:ext>
            </c:extLst>
          </c:dPt>
          <c:dPt>
            <c:idx val="1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7-5353-4C64-9F13-2AF501ED732F}"/>
              </c:ext>
            </c:extLst>
          </c:dPt>
          <c:dPt>
            <c:idx val="1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9-5353-4C64-9F13-2AF501ED732F}"/>
              </c:ext>
            </c:extLst>
          </c:dPt>
          <c:dPt>
            <c:idx val="1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B-5353-4C64-9F13-2AF501ED732F}"/>
              </c:ext>
            </c:extLst>
          </c:dPt>
          <c:dPt>
            <c:idx val="1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D-5353-4C64-9F13-2AF501ED732F}"/>
              </c:ext>
            </c:extLst>
          </c:dPt>
          <c:dPt>
            <c:idx val="1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F-5353-4C64-9F13-2AF501ED732F}"/>
              </c:ext>
            </c:extLst>
          </c:dPt>
          <c:dPt>
            <c:idx val="1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1-5353-4C64-9F13-2AF501ED732F}"/>
              </c:ext>
            </c:extLst>
          </c:dPt>
          <c:dPt>
            <c:idx val="1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3-5353-4C64-9F13-2AF501ED732F}"/>
              </c:ext>
            </c:extLst>
          </c:dPt>
          <c:dPt>
            <c:idx val="1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5-5353-4C64-9F13-2AF501ED732F}"/>
              </c:ext>
            </c:extLst>
          </c:dPt>
          <c:dPt>
            <c:idx val="1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7-5353-4C64-9F13-2AF501ED732F}"/>
              </c:ext>
            </c:extLst>
          </c:dPt>
          <c:dPt>
            <c:idx val="1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9-5353-4C64-9F13-2AF501ED732F}"/>
              </c:ext>
            </c:extLst>
          </c:dPt>
          <c:dPt>
            <c:idx val="1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B-5353-4C64-9F13-2AF501ED732F}"/>
              </c:ext>
            </c:extLst>
          </c:dPt>
          <c:dPt>
            <c:idx val="1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D-5353-4C64-9F13-2AF501ED732F}"/>
              </c:ext>
            </c:extLst>
          </c:dPt>
          <c:dPt>
            <c:idx val="1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F-5353-4C64-9F13-2AF501ED732F}"/>
              </c:ext>
            </c:extLst>
          </c:dPt>
          <c:dPt>
            <c:idx val="1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1-5353-4C64-9F13-2AF501ED732F}"/>
              </c:ext>
            </c:extLst>
          </c:dPt>
          <c:dPt>
            <c:idx val="1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3-5353-4C64-9F13-2AF501ED732F}"/>
              </c:ext>
            </c:extLst>
          </c:dPt>
          <c:cat>
            <c:strRef>
              <c:f>'What if'!$B$13:$B$18</c:f>
              <c:strCache>
                <c:ptCount val="6"/>
                <c:pt idx="0">
                  <c:v>#2: Single drop transport (supplier to producer)</c:v>
                </c:pt>
                <c:pt idx="1">
                  <c:v>#3: Producer</c:v>
                </c:pt>
                <c:pt idx="2">
                  <c:v>#4: Single drop transport (to distribution center)</c:v>
                </c:pt>
                <c:pt idx="3">
                  <c:v>#5: Distribution center</c:v>
                </c:pt>
                <c:pt idx="4">
                  <c:v>#6: Multi drop transport (distribution center to retailer)</c:v>
                </c:pt>
                <c:pt idx="5">
                  <c:v>#7: Retailer</c:v>
                </c:pt>
              </c:strCache>
            </c:strRef>
          </c:cat>
          <c:val>
            <c:numRef>
              <c:f>'What if'!$D$13:$D$18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154-5353-4C64-9F13-2AF501ED732F}"/>
            </c:ext>
          </c:extLst>
        </c:ser>
        <c:ser>
          <c:idx val="1"/>
          <c:order val="1"/>
          <c:tx>
            <c:strRef>
              <c:f>'What if'!$E$12</c:f>
              <c:strCache>
                <c:ptCount val="1"/>
                <c:pt idx="0">
                  <c:v>GWP</c:v>
                </c:pt>
              </c:strCache>
            </c:strRef>
          </c:tx>
          <c:spPr>
            <a:solidFill>
              <a:schemeClr val="accent3"/>
            </a:solidFill>
            <a:ln w="19050">
              <a:solidFill>
                <a:schemeClr val="lt1"/>
              </a:solidFill>
            </a:ln>
            <a:effectLst/>
          </c:spPr>
          <c:invertIfNegative val="0"/>
          <c:val>
            <c:numRef>
              <c:f>'What if'!$E$13:$E$18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155-5353-4C64-9F13-2AF501ED732F}"/>
            </c:ext>
          </c:extLst>
        </c:ser>
        <c:dLbls>
          <c:showLegendKey val="0"/>
          <c:showVal val="0"/>
          <c:showCatName val="0"/>
          <c:showSerName val="0"/>
          <c:showPercent val="0"/>
          <c:showBubbleSize val="0"/>
        </c:dLbls>
        <c:gapWidth val="100"/>
        <c:overlap val="100"/>
        <c:axId val="696540504"/>
        <c:axId val="696545096"/>
      </c:barChart>
      <c:catAx>
        <c:axId val="6965405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2"/>
                </a:solidFill>
                <a:latin typeface="+mn-lt"/>
                <a:ea typeface="+mn-ea"/>
                <a:cs typeface="+mn-cs"/>
              </a:defRPr>
            </a:pPr>
            <a:endParaRPr lang="de-DE"/>
          </a:p>
        </c:txPr>
        <c:crossAx val="696545096"/>
        <c:crosses val="autoZero"/>
        <c:auto val="1"/>
        <c:lblAlgn val="ctr"/>
        <c:lblOffset val="100"/>
        <c:noMultiLvlLbl val="0"/>
      </c:catAx>
      <c:valAx>
        <c:axId val="696545096"/>
        <c:scaling>
          <c:orientation val="minMax"/>
        </c:scaling>
        <c:delete val="0"/>
        <c:axPos val="t"/>
        <c:majorGridlines>
          <c:spPr>
            <a:ln w="9525" cap="flat" cmpd="sng" algn="ctr">
              <a:solidFill>
                <a:schemeClr val="tx1">
                  <a:lumMod val="15000"/>
                  <a:lumOff val="85000"/>
                </a:schemeClr>
              </a:solidFill>
              <a:round/>
            </a:ln>
            <a:effectLst/>
          </c:spPr>
        </c:majorGridlines>
        <c:title>
          <c:tx>
            <c:strRef>
              <c:f>'What if'!$G$19</c:f>
              <c:strCache>
                <c:ptCount val="1"/>
                <c:pt idx="0">
                  <c:v>[Euro/ton]</c:v>
                </c:pt>
              </c:strCache>
            </c:strRef>
          </c:tx>
          <c:layout/>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de-DE"/>
          </a:p>
        </c:txPr>
        <c:crossAx val="696540504"/>
        <c:crosses val="autoZero"/>
        <c:crossBetween val="between"/>
      </c:valAx>
      <c:spPr>
        <a:noFill/>
        <a:ln>
          <a:noFill/>
        </a:ln>
        <a:effectLst/>
      </c:spPr>
    </c:plotArea>
    <c:legend>
      <c:legendPos val="b"/>
      <c:layout>
        <c:manualLayout>
          <c:xMode val="edge"/>
          <c:yMode val="edge"/>
          <c:x val="0.63922695184912992"/>
          <c:y val="0.92031615366261033"/>
          <c:w val="0.15641983065370912"/>
          <c:h val="5.847172512526842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sz="1100">
          <a:latin typeface="+mn-lt"/>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Results!$B$8</c:f>
          <c:strCache>
            <c:ptCount val="1"/>
            <c:pt idx="0">
              <c:v>Global warming potentials (GWP)</c:v>
            </c:pt>
          </c:strCache>
        </c:strRef>
      </c:tx>
      <c:layout>
        <c:manualLayout>
          <c:xMode val="edge"/>
          <c:yMode val="edge"/>
          <c:x val="0.37556138254663307"/>
          <c:y val="3.4837688044338878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2"/>
              </a:solidFill>
              <a:latin typeface="+mn-lt"/>
              <a:ea typeface="+mn-ea"/>
              <a:cs typeface="+mn-cs"/>
            </a:defRPr>
          </a:pPr>
          <a:endParaRPr lang="de-DE"/>
        </a:p>
      </c:txPr>
    </c:title>
    <c:autoTitleDeleted val="0"/>
    <c:plotArea>
      <c:layout>
        <c:manualLayout>
          <c:layoutTarget val="inner"/>
          <c:xMode val="edge"/>
          <c:yMode val="edge"/>
          <c:x val="0.47335220352357915"/>
          <c:y val="0.22443575788180872"/>
          <c:w val="0.48299109670114759"/>
          <c:h val="0.74143403095990679"/>
        </c:manualLayout>
      </c:layout>
      <c:barChart>
        <c:barDir val="bar"/>
        <c:grouping val="clustered"/>
        <c:varyColors val="0"/>
        <c:ser>
          <c:idx val="0"/>
          <c:order val="0"/>
          <c:tx>
            <c:strRef>
              <c:f>Results!$F$16</c:f>
              <c:strCache>
                <c:ptCount val="1"/>
                <c:pt idx="0">
                  <c:v>GWP</c:v>
                </c:pt>
              </c:strCache>
            </c:strRef>
          </c:tx>
          <c:spPr>
            <a:solidFill>
              <a:schemeClr val="accent1"/>
            </a:solidFill>
            <a:ln w="19050">
              <a:solidFill>
                <a:schemeClr val="lt1"/>
              </a:solidFill>
            </a:ln>
            <a:effectLst/>
          </c:spPr>
          <c:invertIfNegative val="0"/>
          <c:dPt>
            <c:idx val="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7A2A-4C0B-9089-A5F8B2BBAADF}"/>
              </c:ext>
            </c:extLst>
          </c:dPt>
          <c:dPt>
            <c:idx val="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7A2A-4C0B-9089-A5F8B2BBAADF}"/>
              </c:ext>
            </c:extLst>
          </c:dPt>
          <c:dPt>
            <c:idx val="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7A2A-4C0B-9089-A5F8B2BBAADF}"/>
              </c:ext>
            </c:extLst>
          </c:dPt>
          <c:dPt>
            <c:idx val="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7A2A-4C0B-9089-A5F8B2BBAADF}"/>
              </c:ext>
            </c:extLst>
          </c:dPt>
          <c:dPt>
            <c:idx val="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7A2A-4C0B-9089-A5F8B2BBAADF}"/>
              </c:ext>
            </c:extLst>
          </c:dPt>
          <c:dPt>
            <c:idx val="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7A2A-4C0B-9089-A5F8B2BBAADF}"/>
              </c:ext>
            </c:extLst>
          </c:dPt>
          <c:dPt>
            <c:idx val="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7A2A-4C0B-9089-A5F8B2BBAADF}"/>
              </c:ext>
            </c:extLst>
          </c:dPt>
          <c:dPt>
            <c:idx val="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7A2A-4C0B-9089-A5F8B2BBAADF}"/>
              </c:ext>
            </c:extLst>
          </c:dPt>
          <c:dPt>
            <c:idx val="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7A2A-4C0B-9089-A5F8B2BBAADF}"/>
              </c:ext>
            </c:extLst>
          </c:dPt>
          <c:dPt>
            <c:idx val="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7A2A-4C0B-9089-A5F8B2BBAADF}"/>
              </c:ext>
            </c:extLst>
          </c:dPt>
          <c:dPt>
            <c:idx val="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5-7A2A-4C0B-9089-A5F8B2BBAADF}"/>
              </c:ext>
            </c:extLst>
          </c:dPt>
          <c:dPt>
            <c:idx val="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7-7A2A-4C0B-9089-A5F8B2BBAADF}"/>
              </c:ext>
            </c:extLst>
          </c:dPt>
          <c:dPt>
            <c:idx val="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9-7A2A-4C0B-9089-A5F8B2BBAADF}"/>
              </c:ext>
            </c:extLst>
          </c:dPt>
          <c:dPt>
            <c:idx val="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B-7A2A-4C0B-9089-A5F8B2BBAADF}"/>
              </c:ext>
            </c:extLst>
          </c:dPt>
          <c:dPt>
            <c:idx val="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D-7A2A-4C0B-9089-A5F8B2BBAADF}"/>
              </c:ext>
            </c:extLst>
          </c:dPt>
          <c:dPt>
            <c:idx val="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F-7A2A-4C0B-9089-A5F8B2BBAADF}"/>
              </c:ext>
            </c:extLst>
          </c:dPt>
          <c:dPt>
            <c:idx val="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1-7A2A-4C0B-9089-A5F8B2BBAADF}"/>
              </c:ext>
            </c:extLst>
          </c:dPt>
          <c:dPt>
            <c:idx val="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3-7A2A-4C0B-9089-A5F8B2BBAADF}"/>
              </c:ext>
            </c:extLst>
          </c:dPt>
          <c:dPt>
            <c:idx val="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5-7A2A-4C0B-9089-A5F8B2BBAADF}"/>
              </c:ext>
            </c:extLst>
          </c:dPt>
          <c:dPt>
            <c:idx val="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7-7A2A-4C0B-9089-A5F8B2BBAADF}"/>
              </c:ext>
            </c:extLst>
          </c:dPt>
          <c:dPt>
            <c:idx val="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9-7A2A-4C0B-9089-A5F8B2BBAADF}"/>
              </c:ext>
            </c:extLst>
          </c:dPt>
          <c:dPt>
            <c:idx val="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B-7A2A-4C0B-9089-A5F8B2BBAADF}"/>
              </c:ext>
            </c:extLst>
          </c:dPt>
          <c:dPt>
            <c:idx val="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D-7A2A-4C0B-9089-A5F8B2BBAADF}"/>
              </c:ext>
            </c:extLst>
          </c:dPt>
          <c:dPt>
            <c:idx val="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F-7A2A-4C0B-9089-A5F8B2BBAADF}"/>
              </c:ext>
            </c:extLst>
          </c:dPt>
          <c:dPt>
            <c:idx val="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1-7A2A-4C0B-9089-A5F8B2BBAADF}"/>
              </c:ext>
            </c:extLst>
          </c:dPt>
          <c:dPt>
            <c:idx val="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3-7A2A-4C0B-9089-A5F8B2BBAADF}"/>
              </c:ext>
            </c:extLst>
          </c:dPt>
          <c:dPt>
            <c:idx val="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5-7A2A-4C0B-9089-A5F8B2BBAADF}"/>
              </c:ext>
            </c:extLst>
          </c:dPt>
          <c:dPt>
            <c:idx val="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7-7A2A-4C0B-9089-A5F8B2BBAADF}"/>
              </c:ext>
            </c:extLst>
          </c:dPt>
          <c:dPt>
            <c:idx val="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9-7A2A-4C0B-9089-A5F8B2BBAADF}"/>
              </c:ext>
            </c:extLst>
          </c:dPt>
          <c:dPt>
            <c:idx val="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B-7A2A-4C0B-9089-A5F8B2BBAADF}"/>
              </c:ext>
            </c:extLst>
          </c:dPt>
          <c:dPt>
            <c:idx val="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D-7A2A-4C0B-9089-A5F8B2BBAADF}"/>
              </c:ext>
            </c:extLst>
          </c:dPt>
          <c:dPt>
            <c:idx val="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F-7A2A-4C0B-9089-A5F8B2BBAADF}"/>
              </c:ext>
            </c:extLst>
          </c:dPt>
          <c:dPt>
            <c:idx val="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1-7A2A-4C0B-9089-A5F8B2BBAADF}"/>
              </c:ext>
            </c:extLst>
          </c:dPt>
          <c:dPt>
            <c:idx val="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3-7A2A-4C0B-9089-A5F8B2BBAADF}"/>
              </c:ext>
            </c:extLst>
          </c:dPt>
          <c:dPt>
            <c:idx val="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5-7A2A-4C0B-9089-A5F8B2BBAADF}"/>
              </c:ext>
            </c:extLst>
          </c:dPt>
          <c:dPt>
            <c:idx val="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7-7A2A-4C0B-9089-A5F8B2BBAADF}"/>
              </c:ext>
            </c:extLst>
          </c:dPt>
          <c:dPt>
            <c:idx val="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9-7A2A-4C0B-9089-A5F8B2BBAADF}"/>
              </c:ext>
            </c:extLst>
          </c:dPt>
          <c:dPt>
            <c:idx val="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B-7A2A-4C0B-9089-A5F8B2BBAADF}"/>
              </c:ext>
            </c:extLst>
          </c:dPt>
          <c:dPt>
            <c:idx val="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D-7A2A-4C0B-9089-A5F8B2BBAADF}"/>
              </c:ext>
            </c:extLst>
          </c:dPt>
          <c:dPt>
            <c:idx val="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F-7A2A-4C0B-9089-A5F8B2BBAADF}"/>
              </c:ext>
            </c:extLst>
          </c:dPt>
          <c:dPt>
            <c:idx val="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1-7A2A-4C0B-9089-A5F8B2BBAADF}"/>
              </c:ext>
            </c:extLst>
          </c:dPt>
          <c:dPt>
            <c:idx val="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3-7A2A-4C0B-9089-A5F8B2BBAADF}"/>
              </c:ext>
            </c:extLst>
          </c:dPt>
          <c:dPt>
            <c:idx val="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5-7A2A-4C0B-9089-A5F8B2BBAADF}"/>
              </c:ext>
            </c:extLst>
          </c:dPt>
          <c:dPt>
            <c:idx val="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7-7A2A-4C0B-9089-A5F8B2BBAADF}"/>
              </c:ext>
            </c:extLst>
          </c:dPt>
          <c:dPt>
            <c:idx val="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9-7A2A-4C0B-9089-A5F8B2BBAADF}"/>
              </c:ext>
            </c:extLst>
          </c:dPt>
          <c:dPt>
            <c:idx val="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B-7A2A-4C0B-9089-A5F8B2BBAADF}"/>
              </c:ext>
            </c:extLst>
          </c:dPt>
          <c:dPt>
            <c:idx val="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D-7A2A-4C0B-9089-A5F8B2BBAADF}"/>
              </c:ext>
            </c:extLst>
          </c:dPt>
          <c:dPt>
            <c:idx val="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F-7A2A-4C0B-9089-A5F8B2BBAADF}"/>
              </c:ext>
            </c:extLst>
          </c:dPt>
          <c:dPt>
            <c:idx val="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1-7A2A-4C0B-9089-A5F8B2BBAADF}"/>
              </c:ext>
            </c:extLst>
          </c:dPt>
          <c:dPt>
            <c:idx val="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3-7A2A-4C0B-9089-A5F8B2BBAADF}"/>
              </c:ext>
            </c:extLst>
          </c:dPt>
          <c:dPt>
            <c:idx val="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5-7A2A-4C0B-9089-A5F8B2BBAADF}"/>
              </c:ext>
            </c:extLst>
          </c:dPt>
          <c:dPt>
            <c:idx val="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7-7A2A-4C0B-9089-A5F8B2BBAADF}"/>
              </c:ext>
            </c:extLst>
          </c:dPt>
          <c:dPt>
            <c:idx val="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9-7A2A-4C0B-9089-A5F8B2BBAADF}"/>
              </c:ext>
            </c:extLst>
          </c:dPt>
          <c:dPt>
            <c:idx val="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B-7A2A-4C0B-9089-A5F8B2BBAADF}"/>
              </c:ext>
            </c:extLst>
          </c:dPt>
          <c:dPt>
            <c:idx val="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D-7A2A-4C0B-9089-A5F8B2BBAADF}"/>
              </c:ext>
            </c:extLst>
          </c:dPt>
          <c:dPt>
            <c:idx val="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F-7A2A-4C0B-9089-A5F8B2BBAADF}"/>
              </c:ext>
            </c:extLst>
          </c:dPt>
          <c:dPt>
            <c:idx val="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1-7A2A-4C0B-9089-A5F8B2BBAADF}"/>
              </c:ext>
            </c:extLst>
          </c:dPt>
          <c:dPt>
            <c:idx val="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3-7A2A-4C0B-9089-A5F8B2BBAADF}"/>
              </c:ext>
            </c:extLst>
          </c:dPt>
          <c:dPt>
            <c:idx val="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5-7A2A-4C0B-9089-A5F8B2BBAADF}"/>
              </c:ext>
            </c:extLst>
          </c:dPt>
          <c:dPt>
            <c:idx val="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7-7A2A-4C0B-9089-A5F8B2BBAADF}"/>
              </c:ext>
            </c:extLst>
          </c:dPt>
          <c:dPt>
            <c:idx val="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9-7A2A-4C0B-9089-A5F8B2BBAADF}"/>
              </c:ext>
            </c:extLst>
          </c:dPt>
          <c:dPt>
            <c:idx val="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B-7A2A-4C0B-9089-A5F8B2BBAADF}"/>
              </c:ext>
            </c:extLst>
          </c:dPt>
          <c:dPt>
            <c:idx val="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D-7A2A-4C0B-9089-A5F8B2BBAADF}"/>
              </c:ext>
            </c:extLst>
          </c:dPt>
          <c:dPt>
            <c:idx val="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F-7A2A-4C0B-9089-A5F8B2BBAADF}"/>
              </c:ext>
            </c:extLst>
          </c:dPt>
          <c:dPt>
            <c:idx val="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1-7A2A-4C0B-9089-A5F8B2BBAADF}"/>
              </c:ext>
            </c:extLst>
          </c:dPt>
          <c:dPt>
            <c:idx val="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3-7A2A-4C0B-9089-A5F8B2BBAADF}"/>
              </c:ext>
            </c:extLst>
          </c:dPt>
          <c:dPt>
            <c:idx val="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5-7A2A-4C0B-9089-A5F8B2BBAADF}"/>
              </c:ext>
            </c:extLst>
          </c:dPt>
          <c:dPt>
            <c:idx val="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7-7A2A-4C0B-9089-A5F8B2BBAADF}"/>
              </c:ext>
            </c:extLst>
          </c:dPt>
          <c:dPt>
            <c:idx val="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9-7A2A-4C0B-9089-A5F8B2BBAADF}"/>
              </c:ext>
            </c:extLst>
          </c:dPt>
          <c:dPt>
            <c:idx val="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B-7A2A-4C0B-9089-A5F8B2BBAADF}"/>
              </c:ext>
            </c:extLst>
          </c:dPt>
          <c:dPt>
            <c:idx val="8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D-7A2A-4C0B-9089-A5F8B2BBAADF}"/>
              </c:ext>
            </c:extLst>
          </c:dPt>
          <c:dPt>
            <c:idx val="8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F-7A2A-4C0B-9089-A5F8B2BBAADF}"/>
              </c:ext>
            </c:extLst>
          </c:dPt>
          <c:dPt>
            <c:idx val="8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1-7A2A-4C0B-9089-A5F8B2BBAADF}"/>
              </c:ext>
            </c:extLst>
          </c:dPt>
          <c:dPt>
            <c:idx val="8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3-7A2A-4C0B-9089-A5F8B2BBAADF}"/>
              </c:ext>
            </c:extLst>
          </c:dPt>
          <c:dPt>
            <c:idx val="8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5-7A2A-4C0B-9089-A5F8B2BBAADF}"/>
              </c:ext>
            </c:extLst>
          </c:dPt>
          <c:dPt>
            <c:idx val="8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7-7A2A-4C0B-9089-A5F8B2BBAADF}"/>
              </c:ext>
            </c:extLst>
          </c:dPt>
          <c:dPt>
            <c:idx val="8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9-7A2A-4C0B-9089-A5F8B2BBAADF}"/>
              </c:ext>
            </c:extLst>
          </c:dPt>
          <c:dPt>
            <c:idx val="8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B-7A2A-4C0B-9089-A5F8B2BBAADF}"/>
              </c:ext>
            </c:extLst>
          </c:dPt>
          <c:dPt>
            <c:idx val="8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D-7A2A-4C0B-9089-A5F8B2BBAADF}"/>
              </c:ext>
            </c:extLst>
          </c:dPt>
          <c:dPt>
            <c:idx val="9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F-7A2A-4C0B-9089-A5F8B2BBAADF}"/>
              </c:ext>
            </c:extLst>
          </c:dPt>
          <c:dPt>
            <c:idx val="9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1-7A2A-4C0B-9089-A5F8B2BBAADF}"/>
              </c:ext>
            </c:extLst>
          </c:dPt>
          <c:dPt>
            <c:idx val="9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3-7A2A-4C0B-9089-A5F8B2BBAADF}"/>
              </c:ext>
            </c:extLst>
          </c:dPt>
          <c:dPt>
            <c:idx val="9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5-7A2A-4C0B-9089-A5F8B2BBAADF}"/>
              </c:ext>
            </c:extLst>
          </c:dPt>
          <c:dPt>
            <c:idx val="9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7-7A2A-4C0B-9089-A5F8B2BBAADF}"/>
              </c:ext>
            </c:extLst>
          </c:dPt>
          <c:dPt>
            <c:idx val="9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9-7A2A-4C0B-9089-A5F8B2BBAADF}"/>
              </c:ext>
            </c:extLst>
          </c:dPt>
          <c:dPt>
            <c:idx val="9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B-7A2A-4C0B-9089-A5F8B2BBAADF}"/>
              </c:ext>
            </c:extLst>
          </c:dPt>
          <c:dPt>
            <c:idx val="9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D-7A2A-4C0B-9089-A5F8B2BBAADF}"/>
              </c:ext>
            </c:extLst>
          </c:dPt>
          <c:dPt>
            <c:idx val="9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F-7A2A-4C0B-9089-A5F8B2BBAADF}"/>
              </c:ext>
            </c:extLst>
          </c:dPt>
          <c:dPt>
            <c:idx val="9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1-7A2A-4C0B-9089-A5F8B2BBAADF}"/>
              </c:ext>
            </c:extLst>
          </c:dPt>
          <c:dPt>
            <c:idx val="10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3-7A2A-4C0B-9089-A5F8B2BBAADF}"/>
              </c:ext>
            </c:extLst>
          </c:dPt>
          <c:dPt>
            <c:idx val="10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5-7A2A-4C0B-9089-A5F8B2BBAADF}"/>
              </c:ext>
            </c:extLst>
          </c:dPt>
          <c:dPt>
            <c:idx val="10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7-7A2A-4C0B-9089-A5F8B2BBAADF}"/>
              </c:ext>
            </c:extLst>
          </c:dPt>
          <c:dPt>
            <c:idx val="10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9-7A2A-4C0B-9089-A5F8B2BBAADF}"/>
              </c:ext>
            </c:extLst>
          </c:dPt>
          <c:dPt>
            <c:idx val="10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B-7A2A-4C0B-9089-A5F8B2BBAADF}"/>
              </c:ext>
            </c:extLst>
          </c:dPt>
          <c:dPt>
            <c:idx val="10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D-7A2A-4C0B-9089-A5F8B2BBAADF}"/>
              </c:ext>
            </c:extLst>
          </c:dPt>
          <c:dPt>
            <c:idx val="10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F-7A2A-4C0B-9089-A5F8B2BBAADF}"/>
              </c:ext>
            </c:extLst>
          </c:dPt>
          <c:dPt>
            <c:idx val="10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1-7A2A-4C0B-9089-A5F8B2BBAADF}"/>
              </c:ext>
            </c:extLst>
          </c:dPt>
          <c:dPt>
            <c:idx val="10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3-7A2A-4C0B-9089-A5F8B2BBAADF}"/>
              </c:ext>
            </c:extLst>
          </c:dPt>
          <c:dPt>
            <c:idx val="10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5-7A2A-4C0B-9089-A5F8B2BBAADF}"/>
              </c:ext>
            </c:extLst>
          </c:dPt>
          <c:dPt>
            <c:idx val="11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7-7A2A-4C0B-9089-A5F8B2BBAADF}"/>
              </c:ext>
            </c:extLst>
          </c:dPt>
          <c:dPt>
            <c:idx val="1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9-7A2A-4C0B-9089-A5F8B2BBAADF}"/>
              </c:ext>
            </c:extLst>
          </c:dPt>
          <c:dPt>
            <c:idx val="1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B-7A2A-4C0B-9089-A5F8B2BBAADF}"/>
              </c:ext>
            </c:extLst>
          </c:dPt>
          <c:dPt>
            <c:idx val="1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D-7A2A-4C0B-9089-A5F8B2BBAADF}"/>
              </c:ext>
            </c:extLst>
          </c:dPt>
          <c:dPt>
            <c:idx val="1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F-7A2A-4C0B-9089-A5F8B2BBAADF}"/>
              </c:ext>
            </c:extLst>
          </c:dPt>
          <c:dPt>
            <c:idx val="1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1-7A2A-4C0B-9089-A5F8B2BBAADF}"/>
              </c:ext>
            </c:extLst>
          </c:dPt>
          <c:dPt>
            <c:idx val="1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3-7A2A-4C0B-9089-A5F8B2BBAADF}"/>
              </c:ext>
            </c:extLst>
          </c:dPt>
          <c:dPt>
            <c:idx val="1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5-7A2A-4C0B-9089-A5F8B2BBAADF}"/>
              </c:ext>
            </c:extLst>
          </c:dPt>
          <c:dPt>
            <c:idx val="1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7-7A2A-4C0B-9089-A5F8B2BBAADF}"/>
              </c:ext>
            </c:extLst>
          </c:dPt>
          <c:dPt>
            <c:idx val="1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9-7A2A-4C0B-9089-A5F8B2BBAADF}"/>
              </c:ext>
            </c:extLst>
          </c:dPt>
          <c:dPt>
            <c:idx val="1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B-7A2A-4C0B-9089-A5F8B2BBAADF}"/>
              </c:ext>
            </c:extLst>
          </c:dPt>
          <c:dPt>
            <c:idx val="1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D-7A2A-4C0B-9089-A5F8B2BBAADF}"/>
              </c:ext>
            </c:extLst>
          </c:dPt>
          <c:dPt>
            <c:idx val="1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F-7A2A-4C0B-9089-A5F8B2BBAADF}"/>
              </c:ext>
            </c:extLst>
          </c:dPt>
          <c:dPt>
            <c:idx val="1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1-7A2A-4C0B-9089-A5F8B2BBAADF}"/>
              </c:ext>
            </c:extLst>
          </c:dPt>
          <c:dPt>
            <c:idx val="1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3-7A2A-4C0B-9089-A5F8B2BBAADF}"/>
              </c:ext>
            </c:extLst>
          </c:dPt>
          <c:dPt>
            <c:idx val="1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5-7A2A-4C0B-9089-A5F8B2BBAADF}"/>
              </c:ext>
            </c:extLst>
          </c:dPt>
          <c:dPt>
            <c:idx val="1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7-7A2A-4C0B-9089-A5F8B2BBAADF}"/>
              </c:ext>
            </c:extLst>
          </c:dPt>
          <c:dPt>
            <c:idx val="1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9-7A2A-4C0B-9089-A5F8B2BBAADF}"/>
              </c:ext>
            </c:extLst>
          </c:dPt>
          <c:dPt>
            <c:idx val="1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B-7A2A-4C0B-9089-A5F8B2BBAADF}"/>
              </c:ext>
            </c:extLst>
          </c:dPt>
          <c:dPt>
            <c:idx val="1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D-7A2A-4C0B-9089-A5F8B2BBAADF}"/>
              </c:ext>
            </c:extLst>
          </c:dPt>
          <c:dPt>
            <c:idx val="1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F-7A2A-4C0B-9089-A5F8B2BBAADF}"/>
              </c:ext>
            </c:extLst>
          </c:dPt>
          <c:dPt>
            <c:idx val="1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1-7A2A-4C0B-9089-A5F8B2BBAADF}"/>
              </c:ext>
            </c:extLst>
          </c:dPt>
          <c:dPt>
            <c:idx val="1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3-7A2A-4C0B-9089-A5F8B2BBAADF}"/>
              </c:ext>
            </c:extLst>
          </c:dPt>
          <c:dPt>
            <c:idx val="1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5-7A2A-4C0B-9089-A5F8B2BBAADF}"/>
              </c:ext>
            </c:extLst>
          </c:dPt>
          <c:dPt>
            <c:idx val="1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7-7A2A-4C0B-9089-A5F8B2BBAADF}"/>
              </c:ext>
            </c:extLst>
          </c:dPt>
          <c:dPt>
            <c:idx val="1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9-7A2A-4C0B-9089-A5F8B2BBAADF}"/>
              </c:ext>
            </c:extLst>
          </c:dPt>
          <c:dPt>
            <c:idx val="1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B-7A2A-4C0B-9089-A5F8B2BBAADF}"/>
              </c:ext>
            </c:extLst>
          </c:dPt>
          <c:dPt>
            <c:idx val="1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D-7A2A-4C0B-9089-A5F8B2BBAADF}"/>
              </c:ext>
            </c:extLst>
          </c:dPt>
          <c:dPt>
            <c:idx val="1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F-7A2A-4C0B-9089-A5F8B2BBAADF}"/>
              </c:ext>
            </c:extLst>
          </c:dPt>
          <c:dPt>
            <c:idx val="1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1-7A2A-4C0B-9089-A5F8B2BBAADF}"/>
              </c:ext>
            </c:extLst>
          </c:dPt>
          <c:dPt>
            <c:idx val="1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3-7A2A-4C0B-9089-A5F8B2BBAADF}"/>
              </c:ext>
            </c:extLst>
          </c:dPt>
          <c:dPt>
            <c:idx val="1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5-7A2A-4C0B-9089-A5F8B2BBAADF}"/>
              </c:ext>
            </c:extLst>
          </c:dPt>
          <c:dPt>
            <c:idx val="1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7-7A2A-4C0B-9089-A5F8B2BBAADF}"/>
              </c:ext>
            </c:extLst>
          </c:dPt>
          <c:dPt>
            <c:idx val="1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9-7A2A-4C0B-9089-A5F8B2BBAADF}"/>
              </c:ext>
            </c:extLst>
          </c:dPt>
          <c:dPt>
            <c:idx val="1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B-7A2A-4C0B-9089-A5F8B2BBAADF}"/>
              </c:ext>
            </c:extLst>
          </c:dPt>
          <c:dPt>
            <c:idx val="1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D-7A2A-4C0B-9089-A5F8B2BBAADF}"/>
              </c:ext>
            </c:extLst>
          </c:dPt>
          <c:dPt>
            <c:idx val="1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F-7A2A-4C0B-9089-A5F8B2BBAADF}"/>
              </c:ext>
            </c:extLst>
          </c:dPt>
          <c:dPt>
            <c:idx val="1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1-7A2A-4C0B-9089-A5F8B2BBAADF}"/>
              </c:ext>
            </c:extLst>
          </c:dPt>
          <c:dPt>
            <c:idx val="1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3-7A2A-4C0B-9089-A5F8B2BBAADF}"/>
              </c:ext>
            </c:extLst>
          </c:dPt>
          <c:dPt>
            <c:idx val="1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5-7A2A-4C0B-9089-A5F8B2BBAADF}"/>
              </c:ext>
            </c:extLst>
          </c:dPt>
          <c:dPt>
            <c:idx val="1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7-7A2A-4C0B-9089-A5F8B2BBAADF}"/>
              </c:ext>
            </c:extLst>
          </c:dPt>
          <c:dPt>
            <c:idx val="1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9-7A2A-4C0B-9089-A5F8B2BBAADF}"/>
              </c:ext>
            </c:extLst>
          </c:dPt>
          <c:dPt>
            <c:idx val="1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B-7A2A-4C0B-9089-A5F8B2BBAADF}"/>
              </c:ext>
            </c:extLst>
          </c:dPt>
          <c:dPt>
            <c:idx val="1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D-7A2A-4C0B-9089-A5F8B2BBAADF}"/>
              </c:ext>
            </c:extLst>
          </c:dPt>
          <c:dPt>
            <c:idx val="1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F-7A2A-4C0B-9089-A5F8B2BBAADF}"/>
              </c:ext>
            </c:extLst>
          </c:dPt>
          <c:dPt>
            <c:idx val="1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1-7A2A-4C0B-9089-A5F8B2BBAADF}"/>
              </c:ext>
            </c:extLst>
          </c:dPt>
          <c:dPt>
            <c:idx val="1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3-7A2A-4C0B-9089-A5F8B2BBAADF}"/>
              </c:ext>
            </c:extLst>
          </c:dPt>
          <c:dPt>
            <c:idx val="1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5-7A2A-4C0B-9089-A5F8B2BBAADF}"/>
              </c:ext>
            </c:extLst>
          </c:dPt>
          <c:dPt>
            <c:idx val="1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7-7A2A-4C0B-9089-A5F8B2BBAADF}"/>
              </c:ext>
            </c:extLst>
          </c:dPt>
          <c:dPt>
            <c:idx val="1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9-7A2A-4C0B-9089-A5F8B2BBAADF}"/>
              </c:ext>
            </c:extLst>
          </c:dPt>
          <c:dPt>
            <c:idx val="1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B-7A2A-4C0B-9089-A5F8B2BBAADF}"/>
              </c:ext>
            </c:extLst>
          </c:dPt>
          <c:dPt>
            <c:idx val="1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D-7A2A-4C0B-9089-A5F8B2BBAADF}"/>
              </c:ext>
            </c:extLst>
          </c:dPt>
          <c:dPt>
            <c:idx val="1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F-7A2A-4C0B-9089-A5F8B2BBAADF}"/>
              </c:ext>
            </c:extLst>
          </c:dPt>
          <c:dPt>
            <c:idx val="1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1-7A2A-4C0B-9089-A5F8B2BBAADF}"/>
              </c:ext>
            </c:extLst>
          </c:dPt>
          <c:dPt>
            <c:idx val="1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3-7A2A-4C0B-9089-A5F8B2BBAADF}"/>
              </c:ext>
            </c:extLst>
          </c:dPt>
          <c:dPt>
            <c:idx val="1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5-7A2A-4C0B-9089-A5F8B2BBAADF}"/>
              </c:ext>
            </c:extLst>
          </c:dPt>
          <c:dPt>
            <c:idx val="1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7-7A2A-4C0B-9089-A5F8B2BBAADF}"/>
              </c:ext>
            </c:extLst>
          </c:dPt>
          <c:dPt>
            <c:idx val="1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9-7A2A-4C0B-9089-A5F8B2BBAADF}"/>
              </c:ext>
            </c:extLst>
          </c:dPt>
          <c:dPt>
            <c:idx val="1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B-7A2A-4C0B-9089-A5F8B2BBAADF}"/>
              </c:ext>
            </c:extLst>
          </c:dPt>
          <c:dPt>
            <c:idx val="1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D-7A2A-4C0B-9089-A5F8B2BBAADF}"/>
              </c:ext>
            </c:extLst>
          </c:dPt>
          <c:dPt>
            <c:idx val="1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F-7A2A-4C0B-9089-A5F8B2BBAADF}"/>
              </c:ext>
            </c:extLst>
          </c:dPt>
          <c:dPt>
            <c:idx val="1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1-7A2A-4C0B-9089-A5F8B2BBAADF}"/>
              </c:ext>
            </c:extLst>
          </c:dPt>
          <c:dPt>
            <c:idx val="1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3-7A2A-4C0B-9089-A5F8B2BBAADF}"/>
              </c:ext>
            </c:extLst>
          </c:dPt>
          <c:dPt>
            <c:idx val="1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5-7A2A-4C0B-9089-A5F8B2BBAADF}"/>
              </c:ext>
            </c:extLst>
          </c:dPt>
          <c:dPt>
            <c:idx val="1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7-7A2A-4C0B-9089-A5F8B2BBAADF}"/>
              </c:ext>
            </c:extLst>
          </c:dPt>
          <c:dPt>
            <c:idx val="1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9-7A2A-4C0B-9089-A5F8B2BBAADF}"/>
              </c:ext>
            </c:extLst>
          </c:dPt>
          <c:dPt>
            <c:idx val="1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B-7A2A-4C0B-9089-A5F8B2BBAADF}"/>
              </c:ext>
            </c:extLst>
          </c:dPt>
          <c:dPt>
            <c:idx val="1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D-7A2A-4C0B-9089-A5F8B2BBAADF}"/>
              </c:ext>
            </c:extLst>
          </c:dPt>
          <c:dPt>
            <c:idx val="1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F-7A2A-4C0B-9089-A5F8B2BBAADF}"/>
              </c:ext>
            </c:extLst>
          </c:dPt>
          <c:dPt>
            <c:idx val="1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1-7A2A-4C0B-9089-A5F8B2BBAADF}"/>
              </c:ext>
            </c:extLst>
          </c:dPt>
          <c:dPt>
            <c:idx val="1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3-7A2A-4C0B-9089-A5F8B2BBAADF}"/>
              </c:ext>
            </c:extLst>
          </c:dPt>
          <c:cat>
            <c:strRef>
              <c:f>Results!$B$18:$B$27</c:f>
              <c:strCache>
                <c:ptCount val="10"/>
                <c:pt idx="0">
                  <c:v>#2: Single drop transport (supplier to producer)</c:v>
                </c:pt>
                <c:pt idx="1">
                  <c:v>#3: Producer</c:v>
                </c:pt>
                <c:pt idx="2">
                  <c:v>#3a: Single drop transport (producer to docks/airport)</c:v>
                </c:pt>
                <c:pt idx="3">
                  <c:v>#3b: Storage at docks/airport at origin</c:v>
                </c:pt>
                <c:pt idx="4">
                  <c:v>#3c: Single drop transport (origin to destination)</c:v>
                </c:pt>
                <c:pt idx="5">
                  <c:v>#3d: Storage at docks/airport at destination</c:v>
                </c:pt>
                <c:pt idx="6">
                  <c:v>#4: Single drop transport (to distribution center)</c:v>
                </c:pt>
                <c:pt idx="7">
                  <c:v>#5: Distribution center</c:v>
                </c:pt>
                <c:pt idx="8">
                  <c:v>#6: Multi drop transport (distribution center to retailer)</c:v>
                </c:pt>
                <c:pt idx="9">
                  <c:v>#7: Retailer</c:v>
                </c:pt>
              </c:strCache>
            </c:strRef>
          </c:cat>
          <c:val>
            <c:numRef>
              <c:f>Results!$F$18:$F$27</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154-7A2A-4C0B-9089-A5F8B2BBAADF}"/>
            </c:ext>
          </c:extLst>
        </c:ser>
        <c:dLbls>
          <c:showLegendKey val="0"/>
          <c:showVal val="0"/>
          <c:showCatName val="0"/>
          <c:showSerName val="0"/>
          <c:showPercent val="0"/>
          <c:showBubbleSize val="0"/>
        </c:dLbls>
        <c:gapWidth val="100"/>
        <c:axId val="696540504"/>
        <c:axId val="696545096"/>
      </c:barChart>
      <c:catAx>
        <c:axId val="696540504"/>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2"/>
                </a:solidFill>
                <a:latin typeface="+mn-lt"/>
                <a:ea typeface="+mn-ea"/>
                <a:cs typeface="+mn-cs"/>
              </a:defRPr>
            </a:pPr>
            <a:endParaRPr lang="de-DE"/>
          </a:p>
        </c:txPr>
        <c:crossAx val="696545096"/>
        <c:crosses val="autoZero"/>
        <c:auto val="1"/>
        <c:lblAlgn val="ctr"/>
        <c:lblOffset val="100"/>
        <c:noMultiLvlLbl val="0"/>
      </c:catAx>
      <c:valAx>
        <c:axId val="696545096"/>
        <c:scaling>
          <c:orientation val="minMax"/>
        </c:scaling>
        <c:delete val="0"/>
        <c:axPos val="t"/>
        <c:majorGridlines>
          <c:spPr>
            <a:ln w="9525" cap="flat" cmpd="sng" algn="ctr">
              <a:solidFill>
                <a:schemeClr val="tx1">
                  <a:lumMod val="15000"/>
                  <a:lumOff val="85000"/>
                </a:schemeClr>
              </a:solidFill>
              <a:round/>
            </a:ln>
            <a:effectLst/>
          </c:spPr>
        </c:majorGridlines>
        <c:title>
          <c:tx>
            <c:strRef>
              <c:f>Results!$F$17</c:f>
              <c:strCache>
                <c:ptCount val="1"/>
                <c:pt idx="0">
                  <c:v>[kg CO2 eq/kg]</c:v>
                </c:pt>
              </c:strCache>
            </c:strRef>
          </c:tx>
          <c:layout/>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de-DE"/>
          </a:p>
        </c:txPr>
        <c:crossAx val="696540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mn-lt"/>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Results!$B$68</c:f>
          <c:strCache>
            <c:ptCount val="1"/>
            <c:pt idx="0">
              <c:v>Cumulated energy demand (CED)</c:v>
            </c:pt>
          </c:strCache>
        </c:strRef>
      </c:tx>
      <c:layout>
        <c:manualLayout>
          <c:xMode val="edge"/>
          <c:yMode val="edge"/>
          <c:x val="0.37556138254663307"/>
          <c:y val="3.4837688044338878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2"/>
              </a:solidFill>
              <a:latin typeface="+mn-lt"/>
              <a:ea typeface="+mn-ea"/>
              <a:cs typeface="+mn-cs"/>
            </a:defRPr>
          </a:pPr>
          <a:endParaRPr lang="de-DE"/>
        </a:p>
      </c:txPr>
    </c:title>
    <c:autoTitleDeleted val="0"/>
    <c:plotArea>
      <c:layout>
        <c:manualLayout>
          <c:layoutTarget val="inner"/>
          <c:xMode val="edge"/>
          <c:yMode val="edge"/>
          <c:x val="0.4489513784161373"/>
          <c:y val="0.22443575788180872"/>
          <c:w val="0.50739197615701326"/>
          <c:h val="0.74143403095990679"/>
        </c:manualLayout>
      </c:layout>
      <c:barChart>
        <c:barDir val="bar"/>
        <c:grouping val="clustered"/>
        <c:varyColors val="0"/>
        <c:ser>
          <c:idx val="0"/>
          <c:order val="0"/>
          <c:tx>
            <c:strRef>
              <c:f>Results!$F$76</c:f>
              <c:strCache>
                <c:ptCount val="1"/>
                <c:pt idx="0">
                  <c:v>CED</c:v>
                </c:pt>
              </c:strCache>
            </c:strRef>
          </c:tx>
          <c:spPr>
            <a:solidFill>
              <a:schemeClr val="accent1"/>
            </a:solidFill>
            <a:ln w="19050">
              <a:solidFill>
                <a:schemeClr val="lt1"/>
              </a:solidFill>
            </a:ln>
            <a:effectLst/>
          </c:spPr>
          <c:invertIfNegative val="0"/>
          <c:dPt>
            <c:idx val="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D99D-4DC6-ABCB-32C04D0E256B}"/>
              </c:ext>
            </c:extLst>
          </c:dPt>
          <c:dPt>
            <c:idx val="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D99D-4DC6-ABCB-32C04D0E256B}"/>
              </c:ext>
            </c:extLst>
          </c:dPt>
          <c:dPt>
            <c:idx val="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D99D-4DC6-ABCB-32C04D0E256B}"/>
              </c:ext>
            </c:extLst>
          </c:dPt>
          <c:dPt>
            <c:idx val="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D99D-4DC6-ABCB-32C04D0E256B}"/>
              </c:ext>
            </c:extLst>
          </c:dPt>
          <c:dPt>
            <c:idx val="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D99D-4DC6-ABCB-32C04D0E256B}"/>
              </c:ext>
            </c:extLst>
          </c:dPt>
          <c:dPt>
            <c:idx val="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D99D-4DC6-ABCB-32C04D0E256B}"/>
              </c:ext>
            </c:extLst>
          </c:dPt>
          <c:dPt>
            <c:idx val="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D99D-4DC6-ABCB-32C04D0E256B}"/>
              </c:ext>
            </c:extLst>
          </c:dPt>
          <c:dPt>
            <c:idx val="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D99D-4DC6-ABCB-32C04D0E256B}"/>
              </c:ext>
            </c:extLst>
          </c:dPt>
          <c:dPt>
            <c:idx val="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D99D-4DC6-ABCB-32C04D0E256B}"/>
              </c:ext>
            </c:extLst>
          </c:dPt>
          <c:dPt>
            <c:idx val="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D99D-4DC6-ABCB-32C04D0E256B}"/>
              </c:ext>
            </c:extLst>
          </c:dPt>
          <c:dPt>
            <c:idx val="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5-D99D-4DC6-ABCB-32C04D0E256B}"/>
              </c:ext>
            </c:extLst>
          </c:dPt>
          <c:dPt>
            <c:idx val="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7-D99D-4DC6-ABCB-32C04D0E256B}"/>
              </c:ext>
            </c:extLst>
          </c:dPt>
          <c:dPt>
            <c:idx val="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9-D99D-4DC6-ABCB-32C04D0E256B}"/>
              </c:ext>
            </c:extLst>
          </c:dPt>
          <c:dPt>
            <c:idx val="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B-D99D-4DC6-ABCB-32C04D0E256B}"/>
              </c:ext>
            </c:extLst>
          </c:dPt>
          <c:dPt>
            <c:idx val="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D-D99D-4DC6-ABCB-32C04D0E256B}"/>
              </c:ext>
            </c:extLst>
          </c:dPt>
          <c:dPt>
            <c:idx val="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F-D99D-4DC6-ABCB-32C04D0E256B}"/>
              </c:ext>
            </c:extLst>
          </c:dPt>
          <c:dPt>
            <c:idx val="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1-D99D-4DC6-ABCB-32C04D0E256B}"/>
              </c:ext>
            </c:extLst>
          </c:dPt>
          <c:dPt>
            <c:idx val="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3-D99D-4DC6-ABCB-32C04D0E256B}"/>
              </c:ext>
            </c:extLst>
          </c:dPt>
          <c:dPt>
            <c:idx val="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5-D99D-4DC6-ABCB-32C04D0E256B}"/>
              </c:ext>
            </c:extLst>
          </c:dPt>
          <c:dPt>
            <c:idx val="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7-D99D-4DC6-ABCB-32C04D0E256B}"/>
              </c:ext>
            </c:extLst>
          </c:dPt>
          <c:dPt>
            <c:idx val="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9-D99D-4DC6-ABCB-32C04D0E256B}"/>
              </c:ext>
            </c:extLst>
          </c:dPt>
          <c:dPt>
            <c:idx val="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B-D99D-4DC6-ABCB-32C04D0E256B}"/>
              </c:ext>
            </c:extLst>
          </c:dPt>
          <c:dPt>
            <c:idx val="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D-D99D-4DC6-ABCB-32C04D0E256B}"/>
              </c:ext>
            </c:extLst>
          </c:dPt>
          <c:dPt>
            <c:idx val="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F-D99D-4DC6-ABCB-32C04D0E256B}"/>
              </c:ext>
            </c:extLst>
          </c:dPt>
          <c:dPt>
            <c:idx val="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1-D99D-4DC6-ABCB-32C04D0E256B}"/>
              </c:ext>
            </c:extLst>
          </c:dPt>
          <c:dPt>
            <c:idx val="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3-D99D-4DC6-ABCB-32C04D0E256B}"/>
              </c:ext>
            </c:extLst>
          </c:dPt>
          <c:dPt>
            <c:idx val="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5-D99D-4DC6-ABCB-32C04D0E256B}"/>
              </c:ext>
            </c:extLst>
          </c:dPt>
          <c:dPt>
            <c:idx val="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7-D99D-4DC6-ABCB-32C04D0E256B}"/>
              </c:ext>
            </c:extLst>
          </c:dPt>
          <c:dPt>
            <c:idx val="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9-D99D-4DC6-ABCB-32C04D0E256B}"/>
              </c:ext>
            </c:extLst>
          </c:dPt>
          <c:dPt>
            <c:idx val="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B-D99D-4DC6-ABCB-32C04D0E256B}"/>
              </c:ext>
            </c:extLst>
          </c:dPt>
          <c:dPt>
            <c:idx val="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D-D99D-4DC6-ABCB-32C04D0E256B}"/>
              </c:ext>
            </c:extLst>
          </c:dPt>
          <c:dPt>
            <c:idx val="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F-D99D-4DC6-ABCB-32C04D0E256B}"/>
              </c:ext>
            </c:extLst>
          </c:dPt>
          <c:dPt>
            <c:idx val="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1-D99D-4DC6-ABCB-32C04D0E256B}"/>
              </c:ext>
            </c:extLst>
          </c:dPt>
          <c:dPt>
            <c:idx val="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3-D99D-4DC6-ABCB-32C04D0E256B}"/>
              </c:ext>
            </c:extLst>
          </c:dPt>
          <c:dPt>
            <c:idx val="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5-D99D-4DC6-ABCB-32C04D0E256B}"/>
              </c:ext>
            </c:extLst>
          </c:dPt>
          <c:dPt>
            <c:idx val="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7-D99D-4DC6-ABCB-32C04D0E256B}"/>
              </c:ext>
            </c:extLst>
          </c:dPt>
          <c:dPt>
            <c:idx val="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9-D99D-4DC6-ABCB-32C04D0E256B}"/>
              </c:ext>
            </c:extLst>
          </c:dPt>
          <c:dPt>
            <c:idx val="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B-D99D-4DC6-ABCB-32C04D0E256B}"/>
              </c:ext>
            </c:extLst>
          </c:dPt>
          <c:dPt>
            <c:idx val="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D-D99D-4DC6-ABCB-32C04D0E256B}"/>
              </c:ext>
            </c:extLst>
          </c:dPt>
          <c:dPt>
            <c:idx val="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F-D99D-4DC6-ABCB-32C04D0E256B}"/>
              </c:ext>
            </c:extLst>
          </c:dPt>
          <c:dPt>
            <c:idx val="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1-D99D-4DC6-ABCB-32C04D0E256B}"/>
              </c:ext>
            </c:extLst>
          </c:dPt>
          <c:dPt>
            <c:idx val="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3-D99D-4DC6-ABCB-32C04D0E256B}"/>
              </c:ext>
            </c:extLst>
          </c:dPt>
          <c:dPt>
            <c:idx val="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5-D99D-4DC6-ABCB-32C04D0E256B}"/>
              </c:ext>
            </c:extLst>
          </c:dPt>
          <c:dPt>
            <c:idx val="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7-D99D-4DC6-ABCB-32C04D0E256B}"/>
              </c:ext>
            </c:extLst>
          </c:dPt>
          <c:dPt>
            <c:idx val="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9-D99D-4DC6-ABCB-32C04D0E256B}"/>
              </c:ext>
            </c:extLst>
          </c:dPt>
          <c:dPt>
            <c:idx val="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B-D99D-4DC6-ABCB-32C04D0E256B}"/>
              </c:ext>
            </c:extLst>
          </c:dPt>
          <c:dPt>
            <c:idx val="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D-D99D-4DC6-ABCB-32C04D0E256B}"/>
              </c:ext>
            </c:extLst>
          </c:dPt>
          <c:dPt>
            <c:idx val="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F-D99D-4DC6-ABCB-32C04D0E256B}"/>
              </c:ext>
            </c:extLst>
          </c:dPt>
          <c:dPt>
            <c:idx val="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1-D99D-4DC6-ABCB-32C04D0E256B}"/>
              </c:ext>
            </c:extLst>
          </c:dPt>
          <c:dPt>
            <c:idx val="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3-D99D-4DC6-ABCB-32C04D0E256B}"/>
              </c:ext>
            </c:extLst>
          </c:dPt>
          <c:dPt>
            <c:idx val="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5-D99D-4DC6-ABCB-32C04D0E256B}"/>
              </c:ext>
            </c:extLst>
          </c:dPt>
          <c:dPt>
            <c:idx val="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7-D99D-4DC6-ABCB-32C04D0E256B}"/>
              </c:ext>
            </c:extLst>
          </c:dPt>
          <c:dPt>
            <c:idx val="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9-D99D-4DC6-ABCB-32C04D0E256B}"/>
              </c:ext>
            </c:extLst>
          </c:dPt>
          <c:dPt>
            <c:idx val="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B-D99D-4DC6-ABCB-32C04D0E256B}"/>
              </c:ext>
            </c:extLst>
          </c:dPt>
          <c:dPt>
            <c:idx val="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D-D99D-4DC6-ABCB-32C04D0E256B}"/>
              </c:ext>
            </c:extLst>
          </c:dPt>
          <c:dPt>
            <c:idx val="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F-D99D-4DC6-ABCB-32C04D0E256B}"/>
              </c:ext>
            </c:extLst>
          </c:dPt>
          <c:dPt>
            <c:idx val="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1-D99D-4DC6-ABCB-32C04D0E256B}"/>
              </c:ext>
            </c:extLst>
          </c:dPt>
          <c:dPt>
            <c:idx val="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3-D99D-4DC6-ABCB-32C04D0E256B}"/>
              </c:ext>
            </c:extLst>
          </c:dPt>
          <c:dPt>
            <c:idx val="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5-D99D-4DC6-ABCB-32C04D0E256B}"/>
              </c:ext>
            </c:extLst>
          </c:dPt>
          <c:dPt>
            <c:idx val="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7-D99D-4DC6-ABCB-32C04D0E256B}"/>
              </c:ext>
            </c:extLst>
          </c:dPt>
          <c:dPt>
            <c:idx val="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9-D99D-4DC6-ABCB-32C04D0E256B}"/>
              </c:ext>
            </c:extLst>
          </c:dPt>
          <c:dPt>
            <c:idx val="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B-D99D-4DC6-ABCB-32C04D0E256B}"/>
              </c:ext>
            </c:extLst>
          </c:dPt>
          <c:dPt>
            <c:idx val="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D-D99D-4DC6-ABCB-32C04D0E256B}"/>
              </c:ext>
            </c:extLst>
          </c:dPt>
          <c:dPt>
            <c:idx val="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F-D99D-4DC6-ABCB-32C04D0E256B}"/>
              </c:ext>
            </c:extLst>
          </c:dPt>
          <c:dPt>
            <c:idx val="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1-D99D-4DC6-ABCB-32C04D0E256B}"/>
              </c:ext>
            </c:extLst>
          </c:dPt>
          <c:dPt>
            <c:idx val="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3-D99D-4DC6-ABCB-32C04D0E256B}"/>
              </c:ext>
            </c:extLst>
          </c:dPt>
          <c:dPt>
            <c:idx val="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5-D99D-4DC6-ABCB-32C04D0E256B}"/>
              </c:ext>
            </c:extLst>
          </c:dPt>
          <c:dPt>
            <c:idx val="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7-D99D-4DC6-ABCB-32C04D0E256B}"/>
              </c:ext>
            </c:extLst>
          </c:dPt>
          <c:dPt>
            <c:idx val="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9-D99D-4DC6-ABCB-32C04D0E256B}"/>
              </c:ext>
            </c:extLst>
          </c:dPt>
          <c:dPt>
            <c:idx val="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B-D99D-4DC6-ABCB-32C04D0E256B}"/>
              </c:ext>
            </c:extLst>
          </c:dPt>
          <c:dPt>
            <c:idx val="8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D-D99D-4DC6-ABCB-32C04D0E256B}"/>
              </c:ext>
            </c:extLst>
          </c:dPt>
          <c:dPt>
            <c:idx val="8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F-D99D-4DC6-ABCB-32C04D0E256B}"/>
              </c:ext>
            </c:extLst>
          </c:dPt>
          <c:dPt>
            <c:idx val="8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1-D99D-4DC6-ABCB-32C04D0E256B}"/>
              </c:ext>
            </c:extLst>
          </c:dPt>
          <c:dPt>
            <c:idx val="8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3-D99D-4DC6-ABCB-32C04D0E256B}"/>
              </c:ext>
            </c:extLst>
          </c:dPt>
          <c:dPt>
            <c:idx val="8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5-D99D-4DC6-ABCB-32C04D0E256B}"/>
              </c:ext>
            </c:extLst>
          </c:dPt>
          <c:dPt>
            <c:idx val="8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7-D99D-4DC6-ABCB-32C04D0E256B}"/>
              </c:ext>
            </c:extLst>
          </c:dPt>
          <c:dPt>
            <c:idx val="8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9-D99D-4DC6-ABCB-32C04D0E256B}"/>
              </c:ext>
            </c:extLst>
          </c:dPt>
          <c:dPt>
            <c:idx val="8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B-D99D-4DC6-ABCB-32C04D0E256B}"/>
              </c:ext>
            </c:extLst>
          </c:dPt>
          <c:dPt>
            <c:idx val="8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D-D99D-4DC6-ABCB-32C04D0E256B}"/>
              </c:ext>
            </c:extLst>
          </c:dPt>
          <c:dPt>
            <c:idx val="9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F-D99D-4DC6-ABCB-32C04D0E256B}"/>
              </c:ext>
            </c:extLst>
          </c:dPt>
          <c:dPt>
            <c:idx val="9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1-D99D-4DC6-ABCB-32C04D0E256B}"/>
              </c:ext>
            </c:extLst>
          </c:dPt>
          <c:dPt>
            <c:idx val="9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3-D99D-4DC6-ABCB-32C04D0E256B}"/>
              </c:ext>
            </c:extLst>
          </c:dPt>
          <c:dPt>
            <c:idx val="9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5-D99D-4DC6-ABCB-32C04D0E256B}"/>
              </c:ext>
            </c:extLst>
          </c:dPt>
          <c:dPt>
            <c:idx val="9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7-D99D-4DC6-ABCB-32C04D0E256B}"/>
              </c:ext>
            </c:extLst>
          </c:dPt>
          <c:dPt>
            <c:idx val="9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9-D99D-4DC6-ABCB-32C04D0E256B}"/>
              </c:ext>
            </c:extLst>
          </c:dPt>
          <c:dPt>
            <c:idx val="9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B-D99D-4DC6-ABCB-32C04D0E256B}"/>
              </c:ext>
            </c:extLst>
          </c:dPt>
          <c:dPt>
            <c:idx val="9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D-D99D-4DC6-ABCB-32C04D0E256B}"/>
              </c:ext>
            </c:extLst>
          </c:dPt>
          <c:dPt>
            <c:idx val="9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F-D99D-4DC6-ABCB-32C04D0E256B}"/>
              </c:ext>
            </c:extLst>
          </c:dPt>
          <c:dPt>
            <c:idx val="9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1-D99D-4DC6-ABCB-32C04D0E256B}"/>
              </c:ext>
            </c:extLst>
          </c:dPt>
          <c:dPt>
            <c:idx val="10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3-D99D-4DC6-ABCB-32C04D0E256B}"/>
              </c:ext>
            </c:extLst>
          </c:dPt>
          <c:dPt>
            <c:idx val="10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5-D99D-4DC6-ABCB-32C04D0E256B}"/>
              </c:ext>
            </c:extLst>
          </c:dPt>
          <c:dPt>
            <c:idx val="10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7-D99D-4DC6-ABCB-32C04D0E256B}"/>
              </c:ext>
            </c:extLst>
          </c:dPt>
          <c:dPt>
            <c:idx val="10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9-D99D-4DC6-ABCB-32C04D0E256B}"/>
              </c:ext>
            </c:extLst>
          </c:dPt>
          <c:dPt>
            <c:idx val="10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B-D99D-4DC6-ABCB-32C04D0E256B}"/>
              </c:ext>
            </c:extLst>
          </c:dPt>
          <c:dPt>
            <c:idx val="10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D-D99D-4DC6-ABCB-32C04D0E256B}"/>
              </c:ext>
            </c:extLst>
          </c:dPt>
          <c:dPt>
            <c:idx val="10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F-D99D-4DC6-ABCB-32C04D0E256B}"/>
              </c:ext>
            </c:extLst>
          </c:dPt>
          <c:dPt>
            <c:idx val="10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1-D99D-4DC6-ABCB-32C04D0E256B}"/>
              </c:ext>
            </c:extLst>
          </c:dPt>
          <c:dPt>
            <c:idx val="10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3-D99D-4DC6-ABCB-32C04D0E256B}"/>
              </c:ext>
            </c:extLst>
          </c:dPt>
          <c:dPt>
            <c:idx val="10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5-D99D-4DC6-ABCB-32C04D0E256B}"/>
              </c:ext>
            </c:extLst>
          </c:dPt>
          <c:dPt>
            <c:idx val="11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7-D99D-4DC6-ABCB-32C04D0E256B}"/>
              </c:ext>
            </c:extLst>
          </c:dPt>
          <c:dPt>
            <c:idx val="1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9-D99D-4DC6-ABCB-32C04D0E256B}"/>
              </c:ext>
            </c:extLst>
          </c:dPt>
          <c:dPt>
            <c:idx val="1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B-D99D-4DC6-ABCB-32C04D0E256B}"/>
              </c:ext>
            </c:extLst>
          </c:dPt>
          <c:dPt>
            <c:idx val="1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D-D99D-4DC6-ABCB-32C04D0E256B}"/>
              </c:ext>
            </c:extLst>
          </c:dPt>
          <c:dPt>
            <c:idx val="1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F-D99D-4DC6-ABCB-32C04D0E256B}"/>
              </c:ext>
            </c:extLst>
          </c:dPt>
          <c:dPt>
            <c:idx val="1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1-D99D-4DC6-ABCB-32C04D0E256B}"/>
              </c:ext>
            </c:extLst>
          </c:dPt>
          <c:dPt>
            <c:idx val="1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3-D99D-4DC6-ABCB-32C04D0E256B}"/>
              </c:ext>
            </c:extLst>
          </c:dPt>
          <c:dPt>
            <c:idx val="1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5-D99D-4DC6-ABCB-32C04D0E256B}"/>
              </c:ext>
            </c:extLst>
          </c:dPt>
          <c:dPt>
            <c:idx val="1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7-D99D-4DC6-ABCB-32C04D0E256B}"/>
              </c:ext>
            </c:extLst>
          </c:dPt>
          <c:dPt>
            <c:idx val="1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9-D99D-4DC6-ABCB-32C04D0E256B}"/>
              </c:ext>
            </c:extLst>
          </c:dPt>
          <c:dPt>
            <c:idx val="1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B-D99D-4DC6-ABCB-32C04D0E256B}"/>
              </c:ext>
            </c:extLst>
          </c:dPt>
          <c:dPt>
            <c:idx val="1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D-D99D-4DC6-ABCB-32C04D0E256B}"/>
              </c:ext>
            </c:extLst>
          </c:dPt>
          <c:dPt>
            <c:idx val="1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F-D99D-4DC6-ABCB-32C04D0E256B}"/>
              </c:ext>
            </c:extLst>
          </c:dPt>
          <c:dPt>
            <c:idx val="1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1-D99D-4DC6-ABCB-32C04D0E256B}"/>
              </c:ext>
            </c:extLst>
          </c:dPt>
          <c:dPt>
            <c:idx val="1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3-D99D-4DC6-ABCB-32C04D0E256B}"/>
              </c:ext>
            </c:extLst>
          </c:dPt>
          <c:dPt>
            <c:idx val="1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5-D99D-4DC6-ABCB-32C04D0E256B}"/>
              </c:ext>
            </c:extLst>
          </c:dPt>
          <c:dPt>
            <c:idx val="1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7-D99D-4DC6-ABCB-32C04D0E256B}"/>
              </c:ext>
            </c:extLst>
          </c:dPt>
          <c:dPt>
            <c:idx val="1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9-D99D-4DC6-ABCB-32C04D0E256B}"/>
              </c:ext>
            </c:extLst>
          </c:dPt>
          <c:dPt>
            <c:idx val="1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B-D99D-4DC6-ABCB-32C04D0E256B}"/>
              </c:ext>
            </c:extLst>
          </c:dPt>
          <c:dPt>
            <c:idx val="1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D-D99D-4DC6-ABCB-32C04D0E256B}"/>
              </c:ext>
            </c:extLst>
          </c:dPt>
          <c:dPt>
            <c:idx val="1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F-D99D-4DC6-ABCB-32C04D0E256B}"/>
              </c:ext>
            </c:extLst>
          </c:dPt>
          <c:dPt>
            <c:idx val="1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1-D99D-4DC6-ABCB-32C04D0E256B}"/>
              </c:ext>
            </c:extLst>
          </c:dPt>
          <c:dPt>
            <c:idx val="1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3-D99D-4DC6-ABCB-32C04D0E256B}"/>
              </c:ext>
            </c:extLst>
          </c:dPt>
          <c:dPt>
            <c:idx val="1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5-D99D-4DC6-ABCB-32C04D0E256B}"/>
              </c:ext>
            </c:extLst>
          </c:dPt>
          <c:dPt>
            <c:idx val="1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7-D99D-4DC6-ABCB-32C04D0E256B}"/>
              </c:ext>
            </c:extLst>
          </c:dPt>
          <c:dPt>
            <c:idx val="1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9-D99D-4DC6-ABCB-32C04D0E256B}"/>
              </c:ext>
            </c:extLst>
          </c:dPt>
          <c:dPt>
            <c:idx val="1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B-D99D-4DC6-ABCB-32C04D0E256B}"/>
              </c:ext>
            </c:extLst>
          </c:dPt>
          <c:dPt>
            <c:idx val="1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D-D99D-4DC6-ABCB-32C04D0E256B}"/>
              </c:ext>
            </c:extLst>
          </c:dPt>
          <c:dPt>
            <c:idx val="1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F-D99D-4DC6-ABCB-32C04D0E256B}"/>
              </c:ext>
            </c:extLst>
          </c:dPt>
          <c:dPt>
            <c:idx val="1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1-D99D-4DC6-ABCB-32C04D0E256B}"/>
              </c:ext>
            </c:extLst>
          </c:dPt>
          <c:dPt>
            <c:idx val="1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3-D99D-4DC6-ABCB-32C04D0E256B}"/>
              </c:ext>
            </c:extLst>
          </c:dPt>
          <c:dPt>
            <c:idx val="1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5-D99D-4DC6-ABCB-32C04D0E256B}"/>
              </c:ext>
            </c:extLst>
          </c:dPt>
          <c:dPt>
            <c:idx val="1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7-D99D-4DC6-ABCB-32C04D0E256B}"/>
              </c:ext>
            </c:extLst>
          </c:dPt>
          <c:dPt>
            <c:idx val="1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9-D99D-4DC6-ABCB-32C04D0E256B}"/>
              </c:ext>
            </c:extLst>
          </c:dPt>
          <c:dPt>
            <c:idx val="1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B-D99D-4DC6-ABCB-32C04D0E256B}"/>
              </c:ext>
            </c:extLst>
          </c:dPt>
          <c:dPt>
            <c:idx val="1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D-D99D-4DC6-ABCB-32C04D0E256B}"/>
              </c:ext>
            </c:extLst>
          </c:dPt>
          <c:dPt>
            <c:idx val="1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F-D99D-4DC6-ABCB-32C04D0E256B}"/>
              </c:ext>
            </c:extLst>
          </c:dPt>
          <c:dPt>
            <c:idx val="1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1-D99D-4DC6-ABCB-32C04D0E256B}"/>
              </c:ext>
            </c:extLst>
          </c:dPt>
          <c:dPt>
            <c:idx val="1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3-D99D-4DC6-ABCB-32C04D0E256B}"/>
              </c:ext>
            </c:extLst>
          </c:dPt>
          <c:dPt>
            <c:idx val="1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5-D99D-4DC6-ABCB-32C04D0E256B}"/>
              </c:ext>
            </c:extLst>
          </c:dPt>
          <c:dPt>
            <c:idx val="1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7-D99D-4DC6-ABCB-32C04D0E256B}"/>
              </c:ext>
            </c:extLst>
          </c:dPt>
          <c:dPt>
            <c:idx val="1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9-D99D-4DC6-ABCB-32C04D0E256B}"/>
              </c:ext>
            </c:extLst>
          </c:dPt>
          <c:dPt>
            <c:idx val="1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B-D99D-4DC6-ABCB-32C04D0E256B}"/>
              </c:ext>
            </c:extLst>
          </c:dPt>
          <c:dPt>
            <c:idx val="1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D-D99D-4DC6-ABCB-32C04D0E256B}"/>
              </c:ext>
            </c:extLst>
          </c:dPt>
          <c:dPt>
            <c:idx val="1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F-D99D-4DC6-ABCB-32C04D0E256B}"/>
              </c:ext>
            </c:extLst>
          </c:dPt>
          <c:dPt>
            <c:idx val="1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1-D99D-4DC6-ABCB-32C04D0E256B}"/>
              </c:ext>
            </c:extLst>
          </c:dPt>
          <c:dPt>
            <c:idx val="1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3-D99D-4DC6-ABCB-32C04D0E256B}"/>
              </c:ext>
            </c:extLst>
          </c:dPt>
          <c:dPt>
            <c:idx val="1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5-D99D-4DC6-ABCB-32C04D0E256B}"/>
              </c:ext>
            </c:extLst>
          </c:dPt>
          <c:dPt>
            <c:idx val="1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7-D99D-4DC6-ABCB-32C04D0E256B}"/>
              </c:ext>
            </c:extLst>
          </c:dPt>
          <c:dPt>
            <c:idx val="1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9-D99D-4DC6-ABCB-32C04D0E256B}"/>
              </c:ext>
            </c:extLst>
          </c:dPt>
          <c:dPt>
            <c:idx val="1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B-D99D-4DC6-ABCB-32C04D0E256B}"/>
              </c:ext>
            </c:extLst>
          </c:dPt>
          <c:dPt>
            <c:idx val="1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D-D99D-4DC6-ABCB-32C04D0E256B}"/>
              </c:ext>
            </c:extLst>
          </c:dPt>
          <c:dPt>
            <c:idx val="1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F-D99D-4DC6-ABCB-32C04D0E256B}"/>
              </c:ext>
            </c:extLst>
          </c:dPt>
          <c:dPt>
            <c:idx val="1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1-D99D-4DC6-ABCB-32C04D0E256B}"/>
              </c:ext>
            </c:extLst>
          </c:dPt>
          <c:dPt>
            <c:idx val="1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3-D99D-4DC6-ABCB-32C04D0E256B}"/>
              </c:ext>
            </c:extLst>
          </c:dPt>
          <c:dPt>
            <c:idx val="1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5-D99D-4DC6-ABCB-32C04D0E256B}"/>
              </c:ext>
            </c:extLst>
          </c:dPt>
          <c:dPt>
            <c:idx val="1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7-D99D-4DC6-ABCB-32C04D0E256B}"/>
              </c:ext>
            </c:extLst>
          </c:dPt>
          <c:dPt>
            <c:idx val="1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9-D99D-4DC6-ABCB-32C04D0E256B}"/>
              </c:ext>
            </c:extLst>
          </c:dPt>
          <c:dPt>
            <c:idx val="1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B-D99D-4DC6-ABCB-32C04D0E256B}"/>
              </c:ext>
            </c:extLst>
          </c:dPt>
          <c:dPt>
            <c:idx val="1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D-D99D-4DC6-ABCB-32C04D0E256B}"/>
              </c:ext>
            </c:extLst>
          </c:dPt>
          <c:dPt>
            <c:idx val="1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F-D99D-4DC6-ABCB-32C04D0E256B}"/>
              </c:ext>
            </c:extLst>
          </c:dPt>
          <c:dPt>
            <c:idx val="1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1-D99D-4DC6-ABCB-32C04D0E256B}"/>
              </c:ext>
            </c:extLst>
          </c:dPt>
          <c:dPt>
            <c:idx val="1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3-D99D-4DC6-ABCB-32C04D0E256B}"/>
              </c:ext>
            </c:extLst>
          </c:dPt>
          <c:dPt>
            <c:idx val="1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5-D99D-4DC6-ABCB-32C04D0E256B}"/>
              </c:ext>
            </c:extLst>
          </c:dPt>
          <c:dPt>
            <c:idx val="1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7-D99D-4DC6-ABCB-32C04D0E256B}"/>
              </c:ext>
            </c:extLst>
          </c:dPt>
          <c:dPt>
            <c:idx val="1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9-D99D-4DC6-ABCB-32C04D0E256B}"/>
              </c:ext>
            </c:extLst>
          </c:dPt>
          <c:dPt>
            <c:idx val="1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B-D99D-4DC6-ABCB-32C04D0E256B}"/>
              </c:ext>
            </c:extLst>
          </c:dPt>
          <c:dPt>
            <c:idx val="1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D-D99D-4DC6-ABCB-32C04D0E256B}"/>
              </c:ext>
            </c:extLst>
          </c:dPt>
          <c:dPt>
            <c:idx val="1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F-D99D-4DC6-ABCB-32C04D0E256B}"/>
              </c:ext>
            </c:extLst>
          </c:dPt>
          <c:dPt>
            <c:idx val="1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1-D99D-4DC6-ABCB-32C04D0E256B}"/>
              </c:ext>
            </c:extLst>
          </c:dPt>
          <c:dPt>
            <c:idx val="1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3-D99D-4DC6-ABCB-32C04D0E256B}"/>
              </c:ext>
            </c:extLst>
          </c:dPt>
          <c:cat>
            <c:strRef>
              <c:f>Results!$B$78:$B$87</c:f>
              <c:strCache>
                <c:ptCount val="10"/>
                <c:pt idx="0">
                  <c:v>#2: Single drop transport (supplier to producer)</c:v>
                </c:pt>
                <c:pt idx="1">
                  <c:v>#3: Producer</c:v>
                </c:pt>
                <c:pt idx="2">
                  <c:v>#3a: Single drop transport (producer to docks/airport)</c:v>
                </c:pt>
                <c:pt idx="3">
                  <c:v>#3b: Storage at docks/airport at origin</c:v>
                </c:pt>
                <c:pt idx="4">
                  <c:v>#3c: Single drop transport (origin to destination)</c:v>
                </c:pt>
                <c:pt idx="5">
                  <c:v>#3d: Storage at docks/airport at destination</c:v>
                </c:pt>
                <c:pt idx="6">
                  <c:v>#4: Single drop transport (to distribution center)</c:v>
                </c:pt>
                <c:pt idx="7">
                  <c:v>#5: Distribution center</c:v>
                </c:pt>
                <c:pt idx="8">
                  <c:v>#6: Multi drop transport (distribution center to retailer)</c:v>
                </c:pt>
                <c:pt idx="9">
                  <c:v>#7: Retailer</c:v>
                </c:pt>
              </c:strCache>
            </c:strRef>
          </c:cat>
          <c:val>
            <c:numRef>
              <c:f>Results!$F$78:$F$87</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154-D99D-4DC6-ABCB-32C04D0E256B}"/>
            </c:ext>
          </c:extLst>
        </c:ser>
        <c:dLbls>
          <c:showLegendKey val="0"/>
          <c:showVal val="0"/>
          <c:showCatName val="0"/>
          <c:showSerName val="0"/>
          <c:showPercent val="0"/>
          <c:showBubbleSize val="0"/>
        </c:dLbls>
        <c:gapWidth val="100"/>
        <c:axId val="696540504"/>
        <c:axId val="696545096"/>
      </c:barChart>
      <c:catAx>
        <c:axId val="696540504"/>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2"/>
                </a:solidFill>
                <a:latin typeface="+mn-lt"/>
                <a:ea typeface="+mn-ea"/>
                <a:cs typeface="+mn-cs"/>
              </a:defRPr>
            </a:pPr>
            <a:endParaRPr lang="de-DE"/>
          </a:p>
        </c:txPr>
        <c:crossAx val="696545096"/>
        <c:crosses val="autoZero"/>
        <c:auto val="1"/>
        <c:lblAlgn val="ctr"/>
        <c:lblOffset val="100"/>
        <c:noMultiLvlLbl val="0"/>
      </c:catAx>
      <c:valAx>
        <c:axId val="696545096"/>
        <c:scaling>
          <c:orientation val="minMax"/>
        </c:scaling>
        <c:delete val="0"/>
        <c:axPos val="t"/>
        <c:majorGridlines>
          <c:spPr>
            <a:ln w="9525" cap="flat" cmpd="sng" algn="ctr">
              <a:solidFill>
                <a:schemeClr val="tx1">
                  <a:lumMod val="15000"/>
                  <a:lumOff val="85000"/>
                </a:schemeClr>
              </a:solidFill>
              <a:round/>
            </a:ln>
            <a:effectLst/>
          </c:spPr>
        </c:majorGridlines>
        <c:title>
          <c:tx>
            <c:strRef>
              <c:f>Results!$F$77</c:f>
              <c:strCache>
                <c:ptCount val="1"/>
                <c:pt idx="0">
                  <c:v>[MJ/kg]</c:v>
                </c:pt>
              </c:strCache>
            </c:strRef>
          </c:tx>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de-DE"/>
          </a:p>
        </c:txPr>
        <c:crossAx val="696540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mn-lt"/>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Results!$B$128</c:f>
          <c:strCache>
            <c:ptCount val="1"/>
            <c:pt idx="0">
              <c:v>Water use (AWARE)</c:v>
            </c:pt>
          </c:strCache>
        </c:strRef>
      </c:tx>
      <c:layout>
        <c:manualLayout>
          <c:xMode val="edge"/>
          <c:yMode val="edge"/>
          <c:x val="0.37556138254663307"/>
          <c:y val="3.4837688044338878E-2"/>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2"/>
              </a:solidFill>
              <a:latin typeface="+mn-lt"/>
              <a:ea typeface="+mn-ea"/>
              <a:cs typeface="+mn-cs"/>
            </a:defRPr>
          </a:pPr>
          <a:endParaRPr lang="de-DE"/>
        </a:p>
      </c:txPr>
    </c:title>
    <c:autoTitleDeleted val="0"/>
    <c:plotArea>
      <c:layout>
        <c:manualLayout>
          <c:layoutTarget val="inner"/>
          <c:xMode val="edge"/>
          <c:yMode val="edge"/>
          <c:x val="0.4489513784161373"/>
          <c:y val="0.22443575788180872"/>
          <c:w val="0.50739197615701326"/>
          <c:h val="0.74143403095990679"/>
        </c:manualLayout>
      </c:layout>
      <c:barChart>
        <c:barDir val="bar"/>
        <c:grouping val="clustered"/>
        <c:varyColors val="0"/>
        <c:ser>
          <c:idx val="0"/>
          <c:order val="0"/>
          <c:tx>
            <c:strRef>
              <c:f>Results!$F$136</c:f>
              <c:strCache>
                <c:ptCount val="1"/>
                <c:pt idx="0">
                  <c:v>Water</c:v>
                </c:pt>
              </c:strCache>
            </c:strRef>
          </c:tx>
          <c:spPr>
            <a:solidFill>
              <a:schemeClr val="accent1"/>
            </a:solidFill>
            <a:ln w="19050">
              <a:solidFill>
                <a:schemeClr val="lt1"/>
              </a:solidFill>
            </a:ln>
            <a:effectLst/>
          </c:spPr>
          <c:invertIfNegative val="0"/>
          <c:dPt>
            <c:idx val="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ADE9-4A74-A1AE-EBA62E87353E}"/>
              </c:ext>
            </c:extLst>
          </c:dPt>
          <c:dPt>
            <c:idx val="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ADE9-4A74-A1AE-EBA62E87353E}"/>
              </c:ext>
            </c:extLst>
          </c:dPt>
          <c:dPt>
            <c:idx val="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ADE9-4A74-A1AE-EBA62E87353E}"/>
              </c:ext>
            </c:extLst>
          </c:dPt>
          <c:dPt>
            <c:idx val="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ADE9-4A74-A1AE-EBA62E87353E}"/>
              </c:ext>
            </c:extLst>
          </c:dPt>
          <c:dPt>
            <c:idx val="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ADE9-4A74-A1AE-EBA62E87353E}"/>
              </c:ext>
            </c:extLst>
          </c:dPt>
          <c:dPt>
            <c:idx val="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ADE9-4A74-A1AE-EBA62E87353E}"/>
              </c:ext>
            </c:extLst>
          </c:dPt>
          <c:dPt>
            <c:idx val="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ADE9-4A74-A1AE-EBA62E87353E}"/>
              </c:ext>
            </c:extLst>
          </c:dPt>
          <c:dPt>
            <c:idx val="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ADE9-4A74-A1AE-EBA62E87353E}"/>
              </c:ext>
            </c:extLst>
          </c:dPt>
          <c:dPt>
            <c:idx val="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ADE9-4A74-A1AE-EBA62E87353E}"/>
              </c:ext>
            </c:extLst>
          </c:dPt>
          <c:dPt>
            <c:idx val="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ADE9-4A74-A1AE-EBA62E87353E}"/>
              </c:ext>
            </c:extLst>
          </c:dPt>
          <c:dPt>
            <c:idx val="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5-ADE9-4A74-A1AE-EBA62E87353E}"/>
              </c:ext>
            </c:extLst>
          </c:dPt>
          <c:dPt>
            <c:idx val="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7-ADE9-4A74-A1AE-EBA62E87353E}"/>
              </c:ext>
            </c:extLst>
          </c:dPt>
          <c:dPt>
            <c:idx val="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9-ADE9-4A74-A1AE-EBA62E87353E}"/>
              </c:ext>
            </c:extLst>
          </c:dPt>
          <c:dPt>
            <c:idx val="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B-ADE9-4A74-A1AE-EBA62E87353E}"/>
              </c:ext>
            </c:extLst>
          </c:dPt>
          <c:dPt>
            <c:idx val="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D-ADE9-4A74-A1AE-EBA62E87353E}"/>
              </c:ext>
            </c:extLst>
          </c:dPt>
          <c:dPt>
            <c:idx val="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F-ADE9-4A74-A1AE-EBA62E87353E}"/>
              </c:ext>
            </c:extLst>
          </c:dPt>
          <c:dPt>
            <c:idx val="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1-ADE9-4A74-A1AE-EBA62E87353E}"/>
              </c:ext>
            </c:extLst>
          </c:dPt>
          <c:dPt>
            <c:idx val="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3-ADE9-4A74-A1AE-EBA62E87353E}"/>
              </c:ext>
            </c:extLst>
          </c:dPt>
          <c:dPt>
            <c:idx val="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5-ADE9-4A74-A1AE-EBA62E87353E}"/>
              </c:ext>
            </c:extLst>
          </c:dPt>
          <c:dPt>
            <c:idx val="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7-ADE9-4A74-A1AE-EBA62E87353E}"/>
              </c:ext>
            </c:extLst>
          </c:dPt>
          <c:dPt>
            <c:idx val="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9-ADE9-4A74-A1AE-EBA62E87353E}"/>
              </c:ext>
            </c:extLst>
          </c:dPt>
          <c:dPt>
            <c:idx val="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B-ADE9-4A74-A1AE-EBA62E87353E}"/>
              </c:ext>
            </c:extLst>
          </c:dPt>
          <c:dPt>
            <c:idx val="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D-ADE9-4A74-A1AE-EBA62E87353E}"/>
              </c:ext>
            </c:extLst>
          </c:dPt>
          <c:dPt>
            <c:idx val="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2F-ADE9-4A74-A1AE-EBA62E87353E}"/>
              </c:ext>
            </c:extLst>
          </c:dPt>
          <c:dPt>
            <c:idx val="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1-ADE9-4A74-A1AE-EBA62E87353E}"/>
              </c:ext>
            </c:extLst>
          </c:dPt>
          <c:dPt>
            <c:idx val="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3-ADE9-4A74-A1AE-EBA62E87353E}"/>
              </c:ext>
            </c:extLst>
          </c:dPt>
          <c:dPt>
            <c:idx val="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5-ADE9-4A74-A1AE-EBA62E87353E}"/>
              </c:ext>
            </c:extLst>
          </c:dPt>
          <c:dPt>
            <c:idx val="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7-ADE9-4A74-A1AE-EBA62E87353E}"/>
              </c:ext>
            </c:extLst>
          </c:dPt>
          <c:dPt>
            <c:idx val="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9-ADE9-4A74-A1AE-EBA62E87353E}"/>
              </c:ext>
            </c:extLst>
          </c:dPt>
          <c:dPt>
            <c:idx val="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B-ADE9-4A74-A1AE-EBA62E87353E}"/>
              </c:ext>
            </c:extLst>
          </c:dPt>
          <c:dPt>
            <c:idx val="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D-ADE9-4A74-A1AE-EBA62E87353E}"/>
              </c:ext>
            </c:extLst>
          </c:dPt>
          <c:dPt>
            <c:idx val="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3F-ADE9-4A74-A1AE-EBA62E87353E}"/>
              </c:ext>
            </c:extLst>
          </c:dPt>
          <c:dPt>
            <c:idx val="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1-ADE9-4A74-A1AE-EBA62E87353E}"/>
              </c:ext>
            </c:extLst>
          </c:dPt>
          <c:dPt>
            <c:idx val="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3-ADE9-4A74-A1AE-EBA62E87353E}"/>
              </c:ext>
            </c:extLst>
          </c:dPt>
          <c:dPt>
            <c:idx val="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5-ADE9-4A74-A1AE-EBA62E87353E}"/>
              </c:ext>
            </c:extLst>
          </c:dPt>
          <c:dPt>
            <c:idx val="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7-ADE9-4A74-A1AE-EBA62E87353E}"/>
              </c:ext>
            </c:extLst>
          </c:dPt>
          <c:dPt>
            <c:idx val="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9-ADE9-4A74-A1AE-EBA62E87353E}"/>
              </c:ext>
            </c:extLst>
          </c:dPt>
          <c:dPt>
            <c:idx val="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B-ADE9-4A74-A1AE-EBA62E87353E}"/>
              </c:ext>
            </c:extLst>
          </c:dPt>
          <c:dPt>
            <c:idx val="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D-ADE9-4A74-A1AE-EBA62E87353E}"/>
              </c:ext>
            </c:extLst>
          </c:dPt>
          <c:dPt>
            <c:idx val="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4F-ADE9-4A74-A1AE-EBA62E87353E}"/>
              </c:ext>
            </c:extLst>
          </c:dPt>
          <c:dPt>
            <c:idx val="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1-ADE9-4A74-A1AE-EBA62E87353E}"/>
              </c:ext>
            </c:extLst>
          </c:dPt>
          <c:dPt>
            <c:idx val="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3-ADE9-4A74-A1AE-EBA62E87353E}"/>
              </c:ext>
            </c:extLst>
          </c:dPt>
          <c:dPt>
            <c:idx val="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5-ADE9-4A74-A1AE-EBA62E87353E}"/>
              </c:ext>
            </c:extLst>
          </c:dPt>
          <c:dPt>
            <c:idx val="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7-ADE9-4A74-A1AE-EBA62E87353E}"/>
              </c:ext>
            </c:extLst>
          </c:dPt>
          <c:dPt>
            <c:idx val="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9-ADE9-4A74-A1AE-EBA62E87353E}"/>
              </c:ext>
            </c:extLst>
          </c:dPt>
          <c:dPt>
            <c:idx val="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B-ADE9-4A74-A1AE-EBA62E87353E}"/>
              </c:ext>
            </c:extLst>
          </c:dPt>
          <c:dPt>
            <c:idx val="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D-ADE9-4A74-A1AE-EBA62E87353E}"/>
              </c:ext>
            </c:extLst>
          </c:dPt>
          <c:dPt>
            <c:idx val="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5F-ADE9-4A74-A1AE-EBA62E87353E}"/>
              </c:ext>
            </c:extLst>
          </c:dPt>
          <c:dPt>
            <c:idx val="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1-ADE9-4A74-A1AE-EBA62E87353E}"/>
              </c:ext>
            </c:extLst>
          </c:dPt>
          <c:dPt>
            <c:idx val="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3-ADE9-4A74-A1AE-EBA62E87353E}"/>
              </c:ext>
            </c:extLst>
          </c:dPt>
          <c:dPt>
            <c:idx val="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5-ADE9-4A74-A1AE-EBA62E87353E}"/>
              </c:ext>
            </c:extLst>
          </c:dPt>
          <c:dPt>
            <c:idx val="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7-ADE9-4A74-A1AE-EBA62E87353E}"/>
              </c:ext>
            </c:extLst>
          </c:dPt>
          <c:dPt>
            <c:idx val="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9-ADE9-4A74-A1AE-EBA62E87353E}"/>
              </c:ext>
            </c:extLst>
          </c:dPt>
          <c:dPt>
            <c:idx val="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B-ADE9-4A74-A1AE-EBA62E87353E}"/>
              </c:ext>
            </c:extLst>
          </c:dPt>
          <c:dPt>
            <c:idx val="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D-ADE9-4A74-A1AE-EBA62E87353E}"/>
              </c:ext>
            </c:extLst>
          </c:dPt>
          <c:dPt>
            <c:idx val="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6F-ADE9-4A74-A1AE-EBA62E87353E}"/>
              </c:ext>
            </c:extLst>
          </c:dPt>
          <c:dPt>
            <c:idx val="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1-ADE9-4A74-A1AE-EBA62E87353E}"/>
              </c:ext>
            </c:extLst>
          </c:dPt>
          <c:dPt>
            <c:idx val="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3-ADE9-4A74-A1AE-EBA62E87353E}"/>
              </c:ext>
            </c:extLst>
          </c:dPt>
          <c:dPt>
            <c:idx val="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5-ADE9-4A74-A1AE-EBA62E87353E}"/>
              </c:ext>
            </c:extLst>
          </c:dPt>
          <c:dPt>
            <c:idx val="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7-ADE9-4A74-A1AE-EBA62E87353E}"/>
              </c:ext>
            </c:extLst>
          </c:dPt>
          <c:dPt>
            <c:idx val="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9-ADE9-4A74-A1AE-EBA62E87353E}"/>
              </c:ext>
            </c:extLst>
          </c:dPt>
          <c:dPt>
            <c:idx val="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B-ADE9-4A74-A1AE-EBA62E87353E}"/>
              </c:ext>
            </c:extLst>
          </c:dPt>
          <c:dPt>
            <c:idx val="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D-ADE9-4A74-A1AE-EBA62E87353E}"/>
              </c:ext>
            </c:extLst>
          </c:dPt>
          <c:dPt>
            <c:idx val="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7F-ADE9-4A74-A1AE-EBA62E87353E}"/>
              </c:ext>
            </c:extLst>
          </c:dPt>
          <c:dPt>
            <c:idx val="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1-ADE9-4A74-A1AE-EBA62E87353E}"/>
              </c:ext>
            </c:extLst>
          </c:dPt>
          <c:dPt>
            <c:idx val="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3-ADE9-4A74-A1AE-EBA62E87353E}"/>
              </c:ext>
            </c:extLst>
          </c:dPt>
          <c:dPt>
            <c:idx val="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5-ADE9-4A74-A1AE-EBA62E87353E}"/>
              </c:ext>
            </c:extLst>
          </c:dPt>
          <c:dPt>
            <c:idx val="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7-ADE9-4A74-A1AE-EBA62E87353E}"/>
              </c:ext>
            </c:extLst>
          </c:dPt>
          <c:dPt>
            <c:idx val="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9-ADE9-4A74-A1AE-EBA62E87353E}"/>
              </c:ext>
            </c:extLst>
          </c:dPt>
          <c:dPt>
            <c:idx val="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B-ADE9-4A74-A1AE-EBA62E87353E}"/>
              </c:ext>
            </c:extLst>
          </c:dPt>
          <c:dPt>
            <c:idx val="8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D-ADE9-4A74-A1AE-EBA62E87353E}"/>
              </c:ext>
            </c:extLst>
          </c:dPt>
          <c:dPt>
            <c:idx val="8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8F-ADE9-4A74-A1AE-EBA62E87353E}"/>
              </c:ext>
            </c:extLst>
          </c:dPt>
          <c:dPt>
            <c:idx val="8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1-ADE9-4A74-A1AE-EBA62E87353E}"/>
              </c:ext>
            </c:extLst>
          </c:dPt>
          <c:dPt>
            <c:idx val="8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3-ADE9-4A74-A1AE-EBA62E87353E}"/>
              </c:ext>
            </c:extLst>
          </c:dPt>
          <c:dPt>
            <c:idx val="8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5-ADE9-4A74-A1AE-EBA62E87353E}"/>
              </c:ext>
            </c:extLst>
          </c:dPt>
          <c:dPt>
            <c:idx val="8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7-ADE9-4A74-A1AE-EBA62E87353E}"/>
              </c:ext>
            </c:extLst>
          </c:dPt>
          <c:dPt>
            <c:idx val="8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9-ADE9-4A74-A1AE-EBA62E87353E}"/>
              </c:ext>
            </c:extLst>
          </c:dPt>
          <c:dPt>
            <c:idx val="8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B-ADE9-4A74-A1AE-EBA62E87353E}"/>
              </c:ext>
            </c:extLst>
          </c:dPt>
          <c:dPt>
            <c:idx val="8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D-ADE9-4A74-A1AE-EBA62E87353E}"/>
              </c:ext>
            </c:extLst>
          </c:dPt>
          <c:dPt>
            <c:idx val="9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9F-ADE9-4A74-A1AE-EBA62E87353E}"/>
              </c:ext>
            </c:extLst>
          </c:dPt>
          <c:dPt>
            <c:idx val="9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1-ADE9-4A74-A1AE-EBA62E87353E}"/>
              </c:ext>
            </c:extLst>
          </c:dPt>
          <c:dPt>
            <c:idx val="9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3-ADE9-4A74-A1AE-EBA62E87353E}"/>
              </c:ext>
            </c:extLst>
          </c:dPt>
          <c:dPt>
            <c:idx val="9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5-ADE9-4A74-A1AE-EBA62E87353E}"/>
              </c:ext>
            </c:extLst>
          </c:dPt>
          <c:dPt>
            <c:idx val="9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7-ADE9-4A74-A1AE-EBA62E87353E}"/>
              </c:ext>
            </c:extLst>
          </c:dPt>
          <c:dPt>
            <c:idx val="9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9-ADE9-4A74-A1AE-EBA62E87353E}"/>
              </c:ext>
            </c:extLst>
          </c:dPt>
          <c:dPt>
            <c:idx val="9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B-ADE9-4A74-A1AE-EBA62E87353E}"/>
              </c:ext>
            </c:extLst>
          </c:dPt>
          <c:dPt>
            <c:idx val="9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D-ADE9-4A74-A1AE-EBA62E87353E}"/>
              </c:ext>
            </c:extLst>
          </c:dPt>
          <c:dPt>
            <c:idx val="9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AF-ADE9-4A74-A1AE-EBA62E87353E}"/>
              </c:ext>
            </c:extLst>
          </c:dPt>
          <c:dPt>
            <c:idx val="9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1-ADE9-4A74-A1AE-EBA62E87353E}"/>
              </c:ext>
            </c:extLst>
          </c:dPt>
          <c:dPt>
            <c:idx val="10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3-ADE9-4A74-A1AE-EBA62E87353E}"/>
              </c:ext>
            </c:extLst>
          </c:dPt>
          <c:dPt>
            <c:idx val="10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5-ADE9-4A74-A1AE-EBA62E87353E}"/>
              </c:ext>
            </c:extLst>
          </c:dPt>
          <c:dPt>
            <c:idx val="10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7-ADE9-4A74-A1AE-EBA62E87353E}"/>
              </c:ext>
            </c:extLst>
          </c:dPt>
          <c:dPt>
            <c:idx val="10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9-ADE9-4A74-A1AE-EBA62E87353E}"/>
              </c:ext>
            </c:extLst>
          </c:dPt>
          <c:dPt>
            <c:idx val="10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B-ADE9-4A74-A1AE-EBA62E87353E}"/>
              </c:ext>
            </c:extLst>
          </c:dPt>
          <c:dPt>
            <c:idx val="10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D-ADE9-4A74-A1AE-EBA62E87353E}"/>
              </c:ext>
            </c:extLst>
          </c:dPt>
          <c:dPt>
            <c:idx val="10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BF-ADE9-4A74-A1AE-EBA62E87353E}"/>
              </c:ext>
            </c:extLst>
          </c:dPt>
          <c:dPt>
            <c:idx val="10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1-ADE9-4A74-A1AE-EBA62E87353E}"/>
              </c:ext>
            </c:extLst>
          </c:dPt>
          <c:dPt>
            <c:idx val="10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3-ADE9-4A74-A1AE-EBA62E87353E}"/>
              </c:ext>
            </c:extLst>
          </c:dPt>
          <c:dPt>
            <c:idx val="10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5-ADE9-4A74-A1AE-EBA62E87353E}"/>
              </c:ext>
            </c:extLst>
          </c:dPt>
          <c:dPt>
            <c:idx val="11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7-ADE9-4A74-A1AE-EBA62E87353E}"/>
              </c:ext>
            </c:extLst>
          </c:dPt>
          <c:dPt>
            <c:idx val="11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9-ADE9-4A74-A1AE-EBA62E87353E}"/>
              </c:ext>
            </c:extLst>
          </c:dPt>
          <c:dPt>
            <c:idx val="11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B-ADE9-4A74-A1AE-EBA62E87353E}"/>
              </c:ext>
            </c:extLst>
          </c:dPt>
          <c:dPt>
            <c:idx val="11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D-ADE9-4A74-A1AE-EBA62E87353E}"/>
              </c:ext>
            </c:extLst>
          </c:dPt>
          <c:dPt>
            <c:idx val="11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CF-ADE9-4A74-A1AE-EBA62E87353E}"/>
              </c:ext>
            </c:extLst>
          </c:dPt>
          <c:dPt>
            <c:idx val="11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1-ADE9-4A74-A1AE-EBA62E87353E}"/>
              </c:ext>
            </c:extLst>
          </c:dPt>
          <c:dPt>
            <c:idx val="11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3-ADE9-4A74-A1AE-EBA62E87353E}"/>
              </c:ext>
            </c:extLst>
          </c:dPt>
          <c:dPt>
            <c:idx val="11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5-ADE9-4A74-A1AE-EBA62E87353E}"/>
              </c:ext>
            </c:extLst>
          </c:dPt>
          <c:dPt>
            <c:idx val="11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7-ADE9-4A74-A1AE-EBA62E87353E}"/>
              </c:ext>
            </c:extLst>
          </c:dPt>
          <c:dPt>
            <c:idx val="11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9-ADE9-4A74-A1AE-EBA62E87353E}"/>
              </c:ext>
            </c:extLst>
          </c:dPt>
          <c:dPt>
            <c:idx val="12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B-ADE9-4A74-A1AE-EBA62E87353E}"/>
              </c:ext>
            </c:extLst>
          </c:dPt>
          <c:dPt>
            <c:idx val="12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D-ADE9-4A74-A1AE-EBA62E87353E}"/>
              </c:ext>
            </c:extLst>
          </c:dPt>
          <c:dPt>
            <c:idx val="12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DF-ADE9-4A74-A1AE-EBA62E87353E}"/>
              </c:ext>
            </c:extLst>
          </c:dPt>
          <c:dPt>
            <c:idx val="12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1-ADE9-4A74-A1AE-EBA62E87353E}"/>
              </c:ext>
            </c:extLst>
          </c:dPt>
          <c:dPt>
            <c:idx val="12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3-ADE9-4A74-A1AE-EBA62E87353E}"/>
              </c:ext>
            </c:extLst>
          </c:dPt>
          <c:dPt>
            <c:idx val="12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5-ADE9-4A74-A1AE-EBA62E87353E}"/>
              </c:ext>
            </c:extLst>
          </c:dPt>
          <c:dPt>
            <c:idx val="12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7-ADE9-4A74-A1AE-EBA62E87353E}"/>
              </c:ext>
            </c:extLst>
          </c:dPt>
          <c:dPt>
            <c:idx val="12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9-ADE9-4A74-A1AE-EBA62E87353E}"/>
              </c:ext>
            </c:extLst>
          </c:dPt>
          <c:dPt>
            <c:idx val="12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B-ADE9-4A74-A1AE-EBA62E87353E}"/>
              </c:ext>
            </c:extLst>
          </c:dPt>
          <c:dPt>
            <c:idx val="12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D-ADE9-4A74-A1AE-EBA62E87353E}"/>
              </c:ext>
            </c:extLst>
          </c:dPt>
          <c:dPt>
            <c:idx val="13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EF-ADE9-4A74-A1AE-EBA62E87353E}"/>
              </c:ext>
            </c:extLst>
          </c:dPt>
          <c:dPt>
            <c:idx val="13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1-ADE9-4A74-A1AE-EBA62E87353E}"/>
              </c:ext>
            </c:extLst>
          </c:dPt>
          <c:dPt>
            <c:idx val="13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3-ADE9-4A74-A1AE-EBA62E87353E}"/>
              </c:ext>
            </c:extLst>
          </c:dPt>
          <c:dPt>
            <c:idx val="13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5-ADE9-4A74-A1AE-EBA62E87353E}"/>
              </c:ext>
            </c:extLst>
          </c:dPt>
          <c:dPt>
            <c:idx val="13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7-ADE9-4A74-A1AE-EBA62E87353E}"/>
              </c:ext>
            </c:extLst>
          </c:dPt>
          <c:dPt>
            <c:idx val="13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9-ADE9-4A74-A1AE-EBA62E87353E}"/>
              </c:ext>
            </c:extLst>
          </c:dPt>
          <c:dPt>
            <c:idx val="13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B-ADE9-4A74-A1AE-EBA62E87353E}"/>
              </c:ext>
            </c:extLst>
          </c:dPt>
          <c:dPt>
            <c:idx val="13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D-ADE9-4A74-A1AE-EBA62E87353E}"/>
              </c:ext>
            </c:extLst>
          </c:dPt>
          <c:dPt>
            <c:idx val="13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FF-ADE9-4A74-A1AE-EBA62E87353E}"/>
              </c:ext>
            </c:extLst>
          </c:dPt>
          <c:dPt>
            <c:idx val="13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1-ADE9-4A74-A1AE-EBA62E87353E}"/>
              </c:ext>
            </c:extLst>
          </c:dPt>
          <c:dPt>
            <c:idx val="14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3-ADE9-4A74-A1AE-EBA62E87353E}"/>
              </c:ext>
            </c:extLst>
          </c:dPt>
          <c:dPt>
            <c:idx val="14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5-ADE9-4A74-A1AE-EBA62E87353E}"/>
              </c:ext>
            </c:extLst>
          </c:dPt>
          <c:dPt>
            <c:idx val="14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7-ADE9-4A74-A1AE-EBA62E87353E}"/>
              </c:ext>
            </c:extLst>
          </c:dPt>
          <c:dPt>
            <c:idx val="14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9-ADE9-4A74-A1AE-EBA62E87353E}"/>
              </c:ext>
            </c:extLst>
          </c:dPt>
          <c:dPt>
            <c:idx val="14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B-ADE9-4A74-A1AE-EBA62E87353E}"/>
              </c:ext>
            </c:extLst>
          </c:dPt>
          <c:dPt>
            <c:idx val="14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D-ADE9-4A74-A1AE-EBA62E87353E}"/>
              </c:ext>
            </c:extLst>
          </c:dPt>
          <c:dPt>
            <c:idx val="14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0F-ADE9-4A74-A1AE-EBA62E87353E}"/>
              </c:ext>
            </c:extLst>
          </c:dPt>
          <c:dPt>
            <c:idx val="14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1-ADE9-4A74-A1AE-EBA62E87353E}"/>
              </c:ext>
            </c:extLst>
          </c:dPt>
          <c:dPt>
            <c:idx val="14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3-ADE9-4A74-A1AE-EBA62E87353E}"/>
              </c:ext>
            </c:extLst>
          </c:dPt>
          <c:dPt>
            <c:idx val="14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5-ADE9-4A74-A1AE-EBA62E87353E}"/>
              </c:ext>
            </c:extLst>
          </c:dPt>
          <c:dPt>
            <c:idx val="15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7-ADE9-4A74-A1AE-EBA62E87353E}"/>
              </c:ext>
            </c:extLst>
          </c:dPt>
          <c:dPt>
            <c:idx val="15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9-ADE9-4A74-A1AE-EBA62E87353E}"/>
              </c:ext>
            </c:extLst>
          </c:dPt>
          <c:dPt>
            <c:idx val="15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B-ADE9-4A74-A1AE-EBA62E87353E}"/>
              </c:ext>
            </c:extLst>
          </c:dPt>
          <c:dPt>
            <c:idx val="15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D-ADE9-4A74-A1AE-EBA62E87353E}"/>
              </c:ext>
            </c:extLst>
          </c:dPt>
          <c:dPt>
            <c:idx val="15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1F-ADE9-4A74-A1AE-EBA62E87353E}"/>
              </c:ext>
            </c:extLst>
          </c:dPt>
          <c:dPt>
            <c:idx val="15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1-ADE9-4A74-A1AE-EBA62E87353E}"/>
              </c:ext>
            </c:extLst>
          </c:dPt>
          <c:dPt>
            <c:idx val="15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3-ADE9-4A74-A1AE-EBA62E87353E}"/>
              </c:ext>
            </c:extLst>
          </c:dPt>
          <c:dPt>
            <c:idx val="15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5-ADE9-4A74-A1AE-EBA62E87353E}"/>
              </c:ext>
            </c:extLst>
          </c:dPt>
          <c:dPt>
            <c:idx val="15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7-ADE9-4A74-A1AE-EBA62E87353E}"/>
              </c:ext>
            </c:extLst>
          </c:dPt>
          <c:dPt>
            <c:idx val="15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9-ADE9-4A74-A1AE-EBA62E87353E}"/>
              </c:ext>
            </c:extLst>
          </c:dPt>
          <c:dPt>
            <c:idx val="16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B-ADE9-4A74-A1AE-EBA62E87353E}"/>
              </c:ext>
            </c:extLst>
          </c:dPt>
          <c:dPt>
            <c:idx val="16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D-ADE9-4A74-A1AE-EBA62E87353E}"/>
              </c:ext>
            </c:extLst>
          </c:dPt>
          <c:dPt>
            <c:idx val="16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2F-ADE9-4A74-A1AE-EBA62E87353E}"/>
              </c:ext>
            </c:extLst>
          </c:dPt>
          <c:dPt>
            <c:idx val="16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1-ADE9-4A74-A1AE-EBA62E87353E}"/>
              </c:ext>
            </c:extLst>
          </c:dPt>
          <c:dPt>
            <c:idx val="16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3-ADE9-4A74-A1AE-EBA62E87353E}"/>
              </c:ext>
            </c:extLst>
          </c:dPt>
          <c:dPt>
            <c:idx val="16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5-ADE9-4A74-A1AE-EBA62E87353E}"/>
              </c:ext>
            </c:extLst>
          </c:dPt>
          <c:dPt>
            <c:idx val="16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7-ADE9-4A74-A1AE-EBA62E87353E}"/>
              </c:ext>
            </c:extLst>
          </c:dPt>
          <c:dPt>
            <c:idx val="16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9-ADE9-4A74-A1AE-EBA62E87353E}"/>
              </c:ext>
            </c:extLst>
          </c:dPt>
          <c:dPt>
            <c:idx val="16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B-ADE9-4A74-A1AE-EBA62E87353E}"/>
              </c:ext>
            </c:extLst>
          </c:dPt>
          <c:dPt>
            <c:idx val="16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D-ADE9-4A74-A1AE-EBA62E87353E}"/>
              </c:ext>
            </c:extLst>
          </c:dPt>
          <c:dPt>
            <c:idx val="17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3F-ADE9-4A74-A1AE-EBA62E87353E}"/>
              </c:ext>
            </c:extLst>
          </c:dPt>
          <c:dPt>
            <c:idx val="17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1-ADE9-4A74-A1AE-EBA62E87353E}"/>
              </c:ext>
            </c:extLst>
          </c:dPt>
          <c:dPt>
            <c:idx val="17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3-ADE9-4A74-A1AE-EBA62E87353E}"/>
              </c:ext>
            </c:extLst>
          </c:dPt>
          <c:dPt>
            <c:idx val="17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5-ADE9-4A74-A1AE-EBA62E87353E}"/>
              </c:ext>
            </c:extLst>
          </c:dPt>
          <c:dPt>
            <c:idx val="17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7-ADE9-4A74-A1AE-EBA62E87353E}"/>
              </c:ext>
            </c:extLst>
          </c:dPt>
          <c:dPt>
            <c:idx val="17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9-ADE9-4A74-A1AE-EBA62E87353E}"/>
              </c:ext>
            </c:extLst>
          </c:dPt>
          <c:dPt>
            <c:idx val="17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B-ADE9-4A74-A1AE-EBA62E87353E}"/>
              </c:ext>
            </c:extLst>
          </c:dPt>
          <c:dPt>
            <c:idx val="17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D-ADE9-4A74-A1AE-EBA62E87353E}"/>
              </c:ext>
            </c:extLst>
          </c:dPt>
          <c:dPt>
            <c:idx val="17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4F-ADE9-4A74-A1AE-EBA62E87353E}"/>
              </c:ext>
            </c:extLst>
          </c:dPt>
          <c:dPt>
            <c:idx val="17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1-ADE9-4A74-A1AE-EBA62E87353E}"/>
              </c:ext>
            </c:extLst>
          </c:dPt>
          <c:dPt>
            <c:idx val="18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153-ADE9-4A74-A1AE-EBA62E87353E}"/>
              </c:ext>
            </c:extLst>
          </c:dPt>
          <c:cat>
            <c:strRef>
              <c:f>Results!$B$138:$B$147</c:f>
              <c:strCache>
                <c:ptCount val="10"/>
                <c:pt idx="0">
                  <c:v>#2: Single drop transport (supplier to producer)</c:v>
                </c:pt>
                <c:pt idx="1">
                  <c:v>#3: Producer</c:v>
                </c:pt>
                <c:pt idx="2">
                  <c:v>#3a: Single drop transport (producer to docks/airport)</c:v>
                </c:pt>
                <c:pt idx="3">
                  <c:v>#3b: Storage at docks/airport at origin</c:v>
                </c:pt>
                <c:pt idx="4">
                  <c:v>#3c: Single drop transport (origin to destination)</c:v>
                </c:pt>
                <c:pt idx="5">
                  <c:v>#3d: Storage at docks/airport at destination</c:v>
                </c:pt>
                <c:pt idx="6">
                  <c:v>#4: Single drop transport (to distribution center)</c:v>
                </c:pt>
                <c:pt idx="7">
                  <c:v>#5: Distribution center</c:v>
                </c:pt>
                <c:pt idx="8">
                  <c:v>#6: Multi drop transport (distribution center to retailer)</c:v>
                </c:pt>
                <c:pt idx="9">
                  <c:v>#7: Retailer</c:v>
                </c:pt>
              </c:strCache>
            </c:strRef>
          </c:cat>
          <c:val>
            <c:numRef>
              <c:f>Results!$F$138:$F$147</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154-ADE9-4A74-A1AE-EBA62E87353E}"/>
            </c:ext>
          </c:extLst>
        </c:ser>
        <c:dLbls>
          <c:showLegendKey val="0"/>
          <c:showVal val="0"/>
          <c:showCatName val="0"/>
          <c:showSerName val="0"/>
          <c:showPercent val="0"/>
          <c:showBubbleSize val="0"/>
        </c:dLbls>
        <c:gapWidth val="100"/>
        <c:axId val="696540504"/>
        <c:axId val="696545096"/>
      </c:barChart>
      <c:catAx>
        <c:axId val="696540504"/>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2"/>
                </a:solidFill>
                <a:latin typeface="+mn-lt"/>
                <a:ea typeface="+mn-ea"/>
                <a:cs typeface="+mn-cs"/>
              </a:defRPr>
            </a:pPr>
            <a:endParaRPr lang="de-DE"/>
          </a:p>
        </c:txPr>
        <c:crossAx val="696545096"/>
        <c:crosses val="autoZero"/>
        <c:auto val="1"/>
        <c:lblAlgn val="ctr"/>
        <c:lblOffset val="100"/>
        <c:noMultiLvlLbl val="0"/>
      </c:catAx>
      <c:valAx>
        <c:axId val="696545096"/>
        <c:scaling>
          <c:orientation val="minMax"/>
        </c:scaling>
        <c:delete val="0"/>
        <c:axPos val="t"/>
        <c:majorGridlines>
          <c:spPr>
            <a:ln w="9525" cap="flat" cmpd="sng" algn="ctr">
              <a:solidFill>
                <a:schemeClr val="tx1">
                  <a:lumMod val="15000"/>
                  <a:lumOff val="85000"/>
                </a:schemeClr>
              </a:solidFill>
              <a:round/>
            </a:ln>
            <a:effectLst/>
          </c:spPr>
        </c:majorGridlines>
        <c:title>
          <c:tx>
            <c:strRef>
              <c:f>Results!$F$137</c:f>
              <c:strCache>
                <c:ptCount val="1"/>
                <c:pt idx="0">
                  <c:v>[m³ eq./kg]</c:v>
                </c:pt>
              </c:strCache>
            </c:strRef>
          </c:tx>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de-DE"/>
          </a:p>
        </c:txPr>
        <c:crossAx val="696540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mn-lt"/>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76200</xdr:rowOff>
    </xdr:from>
    <xdr:to>
      <xdr:col>9</xdr:col>
      <xdr:colOff>534425</xdr:colOff>
      <xdr:row>2</xdr:row>
      <xdr:rowOff>136694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7350" y="76200"/>
          <a:ext cx="2029850" cy="489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266700</xdr:colOff>
      <xdr:row>0</xdr:row>
      <xdr:rowOff>76200</xdr:rowOff>
    </xdr:from>
    <xdr:to>
      <xdr:col>7</xdr:col>
      <xdr:colOff>486801</xdr:colOff>
      <xdr:row>2</xdr:row>
      <xdr:rowOff>136694</xdr:rowOff>
    </xdr:to>
    <xdr:pic>
      <xdr:nvPicPr>
        <xdr:cNvPr id="4" name="Grafik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87175" y="76200"/>
          <a:ext cx="2058425" cy="489119"/>
        </a:xfrm>
        <a:prstGeom prst="rect">
          <a:avLst/>
        </a:prstGeom>
      </xdr:spPr>
    </xdr:pic>
    <xdr:clientData/>
  </xdr:twoCellAnchor>
  <xdr:twoCellAnchor editAs="oneCell">
    <xdr:from>
      <xdr:col>1</xdr:col>
      <xdr:colOff>962026</xdr:colOff>
      <xdr:row>6</xdr:row>
      <xdr:rowOff>168276</xdr:rowOff>
    </xdr:from>
    <xdr:to>
      <xdr:col>4</xdr:col>
      <xdr:colOff>1152525</xdr:colOff>
      <xdr:row>16</xdr:row>
      <xdr:rowOff>147395</xdr:rowOff>
    </xdr:to>
    <xdr:pic>
      <xdr:nvPicPr>
        <xdr:cNvPr id="3" name="Grafik 2"/>
        <xdr:cNvPicPr>
          <a:picLocks noChangeAspect="1"/>
        </xdr:cNvPicPr>
      </xdr:nvPicPr>
      <xdr:blipFill>
        <a:blip xmlns:r="http://schemas.openxmlformats.org/officeDocument/2006/relationships" r:embed="rId2"/>
        <a:stretch>
          <a:fillRect/>
        </a:stretch>
      </xdr:blipFill>
      <xdr:spPr>
        <a:xfrm>
          <a:off x="1238251" y="1797051"/>
          <a:ext cx="6743699" cy="1884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21</xdr:row>
      <xdr:rowOff>0</xdr:rowOff>
    </xdr:from>
    <xdr:to>
      <xdr:col>7</xdr:col>
      <xdr:colOff>394608</xdr:colOff>
      <xdr:row>43</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1323975</xdr:colOff>
      <xdr:row>0</xdr:row>
      <xdr:rowOff>104775</xdr:rowOff>
    </xdr:from>
    <xdr:to>
      <xdr:col>8</xdr:col>
      <xdr:colOff>620150</xdr:colOff>
      <xdr:row>2</xdr:row>
      <xdr:rowOff>165269</xdr:rowOff>
    </xdr:to>
    <xdr:pic>
      <xdr:nvPicPr>
        <xdr:cNvPr id="7" name="Grafik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15650" y="104775"/>
          <a:ext cx="2058425" cy="489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29</xdr:row>
      <xdr:rowOff>0</xdr:rowOff>
    </xdr:from>
    <xdr:to>
      <xdr:col>8</xdr:col>
      <xdr:colOff>0</xdr:colOff>
      <xdr:row>50</xdr:row>
      <xdr:rowOff>9525</xdr:rowOff>
    </xdr:to>
    <xdr:graphicFrame macro="">
      <xdr:nvGraphicFramePr>
        <xdr:cNvPr id="29" name="Chart 4">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90</xdr:row>
      <xdr:rowOff>0</xdr:rowOff>
    </xdr:from>
    <xdr:to>
      <xdr:col>8</xdr:col>
      <xdr:colOff>0</xdr:colOff>
      <xdr:row>111</xdr:row>
      <xdr:rowOff>9525</xdr:rowOff>
    </xdr:to>
    <xdr:graphicFrame macro="">
      <xdr:nvGraphicFramePr>
        <xdr:cNvPr id="31" name="Chart 4">
          <a:extLst>
            <a:ext uri="{FF2B5EF4-FFF2-40B4-BE49-F238E27FC236}">
              <a16:creationId xmlns:a16="http://schemas.microsoft.com/office/drawing/2014/main" id="{00000000-0008-0000-04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149</xdr:row>
      <xdr:rowOff>0</xdr:rowOff>
    </xdr:from>
    <xdr:to>
      <xdr:col>8</xdr:col>
      <xdr:colOff>0</xdr:colOff>
      <xdr:row>170</xdr:row>
      <xdr:rowOff>9525</xdr:rowOff>
    </xdr:to>
    <xdr:graphicFrame macro="">
      <xdr:nvGraphicFramePr>
        <xdr:cNvPr id="32" name="Chart 4">
          <a:extLst>
            <a:ext uri="{FF2B5EF4-FFF2-40B4-BE49-F238E27FC236}">
              <a16:creationId xmlns:a16="http://schemas.microsoft.com/office/drawing/2014/main" id="{00000000-0008-0000-04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1028700</xdr:colOff>
      <xdr:row>0</xdr:row>
      <xdr:rowOff>66675</xdr:rowOff>
    </xdr:from>
    <xdr:to>
      <xdr:col>7</xdr:col>
      <xdr:colOff>810650</xdr:colOff>
      <xdr:row>2</xdr:row>
      <xdr:rowOff>127169</xdr:rowOff>
    </xdr:to>
    <xdr:pic>
      <xdr:nvPicPr>
        <xdr:cNvPr id="7" name="Grafik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325" y="66675"/>
          <a:ext cx="2058425" cy="489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462643</xdr:colOff>
      <xdr:row>0</xdr:row>
      <xdr:rowOff>68035</xdr:rowOff>
    </xdr:from>
    <xdr:to>
      <xdr:col>9</xdr:col>
      <xdr:colOff>289497</xdr:colOff>
      <xdr:row>2</xdr:row>
      <xdr:rowOff>121725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9750" y="68035"/>
          <a:ext cx="2058425" cy="4891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145</xdr:col>
      <xdr:colOff>911679</xdr:colOff>
      <xdr:row>0</xdr:row>
      <xdr:rowOff>81643</xdr:rowOff>
    </xdr:from>
    <xdr:to>
      <xdr:col>148</xdr:col>
      <xdr:colOff>357533</xdr:colOff>
      <xdr:row>2</xdr:row>
      <xdr:rowOff>135333</xdr:rowOff>
    </xdr:to>
    <xdr:pic>
      <xdr:nvPicPr>
        <xdr:cNvPr id="5" name="Grafik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848608" y="81643"/>
          <a:ext cx="2058425" cy="4891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276225</xdr:colOff>
      <xdr:row>0</xdr:row>
      <xdr:rowOff>76200</xdr:rowOff>
    </xdr:from>
    <xdr:to>
      <xdr:col>6</xdr:col>
      <xdr:colOff>639200</xdr:colOff>
      <xdr:row>2</xdr:row>
      <xdr:rowOff>136694</xdr:rowOff>
    </xdr:to>
    <xdr:pic>
      <xdr:nvPicPr>
        <xdr:cNvPr id="4" name="Grafik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5075" y="76200"/>
          <a:ext cx="2058425" cy="4891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2362200</xdr:colOff>
      <xdr:row>0</xdr:row>
      <xdr:rowOff>85725</xdr:rowOff>
    </xdr:from>
    <xdr:to>
      <xdr:col>9</xdr:col>
      <xdr:colOff>4420625</xdr:colOff>
      <xdr:row>2</xdr:row>
      <xdr:rowOff>146219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9050" y="85725"/>
          <a:ext cx="2058425" cy="4891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2905125</xdr:colOff>
      <xdr:row>0</xdr:row>
      <xdr:rowOff>66675</xdr:rowOff>
    </xdr:from>
    <xdr:to>
      <xdr:col>4</xdr:col>
      <xdr:colOff>886850</xdr:colOff>
      <xdr:row>2</xdr:row>
      <xdr:rowOff>127169</xdr:rowOff>
    </xdr:to>
    <xdr:pic>
      <xdr:nvPicPr>
        <xdr:cNvPr id="4" name="Grafik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6350" y="66675"/>
          <a:ext cx="2029850" cy="489119"/>
        </a:xfrm>
        <a:prstGeom prst="rect">
          <a:avLst/>
        </a:prstGeom>
      </xdr:spPr>
    </xdr:pic>
    <xdr:clientData/>
  </xdr:twoCellAnchor>
</xdr:wsDr>
</file>

<file path=xl/theme/theme1.xml><?xml version="1.0" encoding="utf-8"?>
<a:theme xmlns:a="http://schemas.openxmlformats.org/drawingml/2006/main" name="Office">
  <a:themeElements>
    <a:clrScheme name="Benutzerdefiniert 9">
      <a:dk1>
        <a:srgbClr val="000000"/>
      </a:dk1>
      <a:lt1>
        <a:srgbClr val="FFFFFF"/>
      </a:lt1>
      <a:dk2>
        <a:srgbClr val="44546A"/>
      </a:dk2>
      <a:lt2>
        <a:srgbClr val="FEFFFF"/>
      </a:lt2>
      <a:accent1>
        <a:srgbClr val="98BDD2"/>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2"/>
  </sheetPr>
  <dimension ref="B2:J30"/>
  <sheetViews>
    <sheetView tabSelected="1" zoomScaleNormal="100" workbookViewId="0">
      <selection activeCell="C8" sqref="C8:D8"/>
    </sheetView>
  </sheetViews>
  <sheetFormatPr baseColWidth="10" defaultColWidth="12.5703125" defaultRowHeight="15"/>
  <cols>
    <col min="1" max="1" width="3.7109375" style="3" customWidth="1"/>
    <col min="2" max="2" width="15.7109375" style="3" customWidth="1"/>
    <col min="3" max="10" width="12.140625" style="3" customWidth="1"/>
    <col min="11" max="16384" width="12.5703125" style="3"/>
  </cols>
  <sheetData>
    <row r="2" spans="2:10" ht="18.75">
      <c r="B2" s="1" t="str">
        <f>VLOOKUP("General_Header",Hidden_Translations!$B$11:$J$36,Hidden_Translations!$C$8,FALSE)</f>
        <v>Improving Cold Chain Energy Efficiency (ICCEE project)</v>
      </c>
      <c r="C2" s="2"/>
      <c r="D2" s="2"/>
      <c r="E2" s="2"/>
      <c r="F2" s="2"/>
      <c r="G2" s="2"/>
      <c r="H2" s="2"/>
      <c r="I2" s="2"/>
      <c r="J2" s="2"/>
    </row>
    <row r="4" spans="2:10" ht="18.75">
      <c r="B4" s="4" t="str">
        <f>VLOOKUP("Info_Header",Hidden_Translations!$B$11:$J$36,Hidden_Translations!$C$8,FALSE)</f>
        <v>#2: Life Cycle Assessment: Info</v>
      </c>
      <c r="C4" s="5"/>
      <c r="D4" s="5"/>
      <c r="E4" s="5"/>
      <c r="F4" s="5"/>
      <c r="G4" s="5"/>
      <c r="H4" s="5"/>
      <c r="I4" s="5"/>
      <c r="J4" s="5"/>
    </row>
    <row r="6" spans="2:10" ht="30" customHeight="1">
      <c r="B6" s="485" t="str">
        <f>VLOOKUP("Info_Header_Text",Hidden_Translations!$B$11:$J$36,Hidden_Translations!$C$8,FALSE)</f>
        <v xml:space="preserve">This tool deals with the life cycle analysis of cold supply chains. It allows users to perform an analysis of the environmental performance of whole cold supply chains. </v>
      </c>
      <c r="C6" s="480"/>
      <c r="D6" s="480"/>
      <c r="E6" s="480"/>
      <c r="F6" s="480"/>
      <c r="G6" s="480"/>
      <c r="H6" s="480"/>
      <c r="I6" s="480"/>
      <c r="J6" s="480"/>
    </row>
    <row r="8" spans="2:10">
      <c r="B8" s="16" t="str">
        <f>VLOOKUP("Info_Language_Caption",Hidden_Translations!$B$11:$J$36,Hidden_Translations!$C$8,FALSE)</f>
        <v>Language:</v>
      </c>
      <c r="C8" s="486" t="s">
        <v>3</v>
      </c>
      <c r="D8" s="487"/>
    </row>
    <row r="9" spans="2:10">
      <c r="B9" s="16"/>
    </row>
    <row r="10" spans="2:10" ht="45" customHeight="1">
      <c r="B10" s="16"/>
      <c r="C10" s="482" t="str">
        <f>VLOOKUP("Info_Language_Caption_Note",Hidden_Translations!$B$11:$J$36,Hidden_Translations!$C$8,FALSE)</f>
        <v>Important note: Please chose your language prior to adding any data to the empty tool and  do not change the language therelater. Otherwise, issues may occur due to drop-down fields that do not update automatically update to the new language setting.</v>
      </c>
      <c r="D10" s="482"/>
      <c r="E10" s="482"/>
      <c r="F10" s="482"/>
      <c r="G10" s="482"/>
      <c r="H10" s="482"/>
      <c r="I10" s="482"/>
      <c r="J10" s="482"/>
    </row>
    <row r="11" spans="2:10">
      <c r="B11" s="16"/>
    </row>
    <row r="12" spans="2:10">
      <c r="B12" s="16" t="str">
        <f>VLOOKUP("Info_Version_Caption",Hidden_Translations!$B$11:$J$36,Hidden_Translations!$C$8,FALSE)</f>
        <v xml:space="preserve">Version: </v>
      </c>
      <c r="C12" s="391" t="s">
        <v>2990</v>
      </c>
    </row>
    <row r="13" spans="2:10">
      <c r="B13" s="16"/>
    </row>
    <row r="14" spans="2:10" ht="75" customHeight="1">
      <c r="B14" s="33" t="str">
        <f>VLOOKUP("Info_Aim_Caption",Hidden_Translations!$B$11:$J$36,Hidden_Translations!$C$8,FALSE)</f>
        <v xml:space="preserve">Aim: </v>
      </c>
      <c r="C14" s="482" t="str">
        <f>VLOOKUP("Info_Aim_Text1",Hidden_Translations!$B$11:$J$36,Hidden_Translations!$C$8,FALSE)</f>
        <v xml:space="preserve">This tools aim to help actors along the cold supply chain to identify the environmental impact of their chains. For this purpose, the environmental impact for a set of products is modelled for three of the most common impact categories, i.e.  global warming potentials, cumulative energy demand and water consumption. </v>
      </c>
      <c r="D14" s="482"/>
      <c r="E14" s="482"/>
      <c r="F14" s="482"/>
      <c r="G14" s="482"/>
      <c r="H14" s="482"/>
      <c r="I14" s="482"/>
      <c r="J14" s="482"/>
    </row>
    <row r="15" spans="2:10" ht="15" customHeight="1">
      <c r="B15" s="33"/>
      <c r="C15" s="483"/>
      <c r="D15" s="483"/>
      <c r="E15" s="483"/>
      <c r="F15" s="483"/>
      <c r="G15" s="483"/>
      <c r="H15" s="483"/>
      <c r="I15" s="483"/>
      <c r="J15" s="483"/>
    </row>
    <row r="16" spans="2:10" ht="60" customHeight="1">
      <c r="B16" s="32"/>
      <c r="C16" s="482" t="str">
        <f>VLOOKUP("Info_Aim_Text2",Hidden_Translations!$B$11:$J$36,Hidden_Translations!$C$8,FALSE)</f>
        <v>The model is based on the following data and methods: The determination of the Global Warming Potential (GWP) is based on the "2013 method" developed by the Intergovernmental Panel on Climate Change (IPCC). It delivers results for a timeframe of 100 years and expresses the impact in terms of kg of carbon dioxide equivalents.</v>
      </c>
      <c r="D16" s="482"/>
      <c r="E16" s="482"/>
      <c r="F16" s="482"/>
      <c r="G16" s="482"/>
      <c r="H16" s="482"/>
      <c r="I16" s="482"/>
      <c r="J16" s="482"/>
    </row>
    <row r="17" spans="2:10" ht="15" customHeight="1">
      <c r="B17" s="32"/>
      <c r="C17" s="482"/>
      <c r="D17" s="482"/>
      <c r="E17" s="482"/>
      <c r="F17" s="482"/>
      <c r="G17" s="482"/>
      <c r="H17" s="482"/>
      <c r="I17" s="482"/>
      <c r="J17" s="482"/>
    </row>
    <row r="18" spans="2:10" ht="45" customHeight="1">
      <c r="B18" s="32"/>
      <c r="C18" s="482" t="str">
        <f>VLOOKUP("Info_Aim_Text3",Hidden_Translations!$B$11:$J$36,Hidden_Translations!$C$8,FALSE)</f>
        <v>The determiniation of the Cumulative Energy Demand (CED) is based on the method published by the environmental data system "ecoinvent version 2.0" expanded for raw materials available in the life cylce database "SimaPro 7".</v>
      </c>
      <c r="D18" s="482"/>
      <c r="E18" s="482"/>
      <c r="F18" s="482"/>
      <c r="G18" s="482"/>
      <c r="H18" s="482"/>
      <c r="I18" s="482"/>
      <c r="J18" s="482"/>
    </row>
    <row r="19" spans="2:10" ht="15" customHeight="1">
      <c r="B19" s="32"/>
      <c r="C19" s="305"/>
      <c r="D19" s="305"/>
      <c r="E19" s="305"/>
      <c r="F19" s="305"/>
      <c r="G19" s="305"/>
      <c r="H19" s="305"/>
      <c r="I19" s="305"/>
      <c r="J19" s="305"/>
    </row>
    <row r="20" spans="2:10" ht="75" customHeight="1">
      <c r="B20" s="32"/>
      <c r="C20" s="484" t="str">
        <f>VLOOKUP("Info_Aim_Text4",Hidden_Translations!$B$11:$J$36,Hidden_Translations!$C$8,FALSE)</f>
        <v xml:space="preserve">To determine water use, the AWARE method (Availalble WAter Remaining) is used according to the recommendation of international working group on water use assessment and footprinting (WULCA).  It assesses the potential of water deprivation, to either humans or ecosystems, building on the assumption that the less water remaining available per area, the more likely another user will be deprived. </v>
      </c>
      <c r="D20" s="480"/>
      <c r="E20" s="480"/>
      <c r="F20" s="480"/>
      <c r="G20" s="480"/>
      <c r="H20" s="480"/>
      <c r="I20" s="480"/>
      <c r="J20" s="480"/>
    </row>
    <row r="21" spans="2:10">
      <c r="B21" s="16"/>
    </row>
    <row r="22" spans="2:10">
      <c r="B22" s="375" t="str">
        <f>VLOOKUP("Info_Target_Caption",Hidden_Translations!$B$11:$J$36,Hidden_Translations!$C$8,FALSE)</f>
        <v>Target group:</v>
      </c>
      <c r="C22" s="481" t="str">
        <f>VLOOKUP("Info_Target_Text",Hidden_Translations!$B$11:$J$36,Hidden_Translations!$C$8,FALSE)</f>
        <v>Supply chain managers &amp; environmental managers</v>
      </c>
      <c r="D22" s="481"/>
      <c r="E22" s="481"/>
      <c r="F22" s="481"/>
      <c r="G22" s="481"/>
      <c r="H22" s="481"/>
      <c r="I22" s="481"/>
      <c r="J22" s="481"/>
    </row>
    <row r="23" spans="2:10">
      <c r="B23" s="16"/>
    </row>
    <row r="24" spans="2:10" ht="15.75">
      <c r="B24" s="375" t="str">
        <f>VLOOKUP("Info_Coding_Caption",Hidden_Translations!$B$11:$J$36,Hidden_Translations!$C$8,FALSE)</f>
        <v>Color coding:</v>
      </c>
      <c r="C24" s="308"/>
      <c r="E24" s="481" t="str">
        <f>VLOOKUP("Info_Coding_User",Hidden_Translations!$B$11:$J$36,Hidden_Translations!$C$8,FALSE)</f>
        <v>Field is an input field and requires input the user.</v>
      </c>
      <c r="F24" s="481"/>
      <c r="G24" s="481"/>
      <c r="H24" s="481"/>
      <c r="I24" s="481"/>
      <c r="J24" s="481"/>
    </row>
    <row r="25" spans="2:10">
      <c r="B25" s="16"/>
    </row>
    <row r="26" spans="2:10">
      <c r="B26" s="16"/>
      <c r="C26" s="306"/>
      <c r="E26" s="481" t="str">
        <f>VLOOKUP("Info_Coding_Transfer",Hidden_Translations!$B$11:$J$36,Hidden_Translations!$C$8,FALSE)</f>
        <v>Information transferred from a different part of the workbook.</v>
      </c>
      <c r="F26" s="481"/>
      <c r="G26" s="481"/>
      <c r="H26" s="481"/>
      <c r="I26" s="481"/>
      <c r="J26" s="481"/>
    </row>
    <row r="27" spans="2:10">
      <c r="B27" s="16"/>
      <c r="C27" s="307"/>
      <c r="D27" s="90"/>
      <c r="E27" s="480" t="str">
        <f>VLOOKUP("Info_Coding_Calculated",Hidden_Translations!$B$11:$J$36,Hidden_Translations!$C$8,FALSE)</f>
        <v>Information calculated based on other values.</v>
      </c>
      <c r="F27" s="480"/>
      <c r="G27" s="480"/>
      <c r="H27" s="480"/>
      <c r="I27" s="480"/>
      <c r="J27" s="480"/>
    </row>
    <row r="28" spans="2:10">
      <c r="B28" s="16"/>
    </row>
    <row r="29" spans="2:10" ht="30" customHeight="1">
      <c r="B29" s="375" t="str">
        <f>VLOOKUP("Info_Copyright_Caption", Hidden_Translations!$B$11:$K$1041,Hidden_Translations!$C$8,FALSE)</f>
        <v xml:space="preserve">Copyright: </v>
      </c>
      <c r="C29" s="480" t="str">
        <f>VLOOKUP("Info_Copyright_Text1", Hidden_Translations!$B$11:$K$1041,Hidden_Translations!$C$8,FALSE)</f>
        <v>(c) ICCEE Project, 2021 (www.iccee.eu)</v>
      </c>
      <c r="D29" s="480"/>
      <c r="E29" s="480"/>
      <c r="F29" s="480"/>
      <c r="G29" s="480"/>
      <c r="H29" s="480"/>
      <c r="I29" s="480"/>
      <c r="J29" s="480"/>
    </row>
    <row r="30" spans="2:10" ht="180" customHeight="1">
      <c r="B30" s="16"/>
      <c r="C30" s="480" t="str">
        <f>VLOOKUP("Info_Copyright_Text2", Hidden_Translations!$B$11:$K$1041,Hidden_Translations!$C$8,FALSE)</f>
        <v>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v>
      </c>
      <c r="D30" s="480"/>
      <c r="E30" s="480"/>
      <c r="F30" s="480"/>
      <c r="G30" s="480"/>
      <c r="H30" s="480"/>
      <c r="I30" s="480"/>
      <c r="J30" s="480"/>
    </row>
  </sheetData>
  <sheetProtection sheet="1" selectLockedCells="1"/>
  <mergeCells count="15">
    <mergeCell ref="B6:J6"/>
    <mergeCell ref="C17:J17"/>
    <mergeCell ref="C22:J22"/>
    <mergeCell ref="C18:J18"/>
    <mergeCell ref="C10:J10"/>
    <mergeCell ref="C8:D8"/>
    <mergeCell ref="C30:J30"/>
    <mergeCell ref="E24:J24"/>
    <mergeCell ref="E26:J26"/>
    <mergeCell ref="E27:J27"/>
    <mergeCell ref="C14:J14"/>
    <mergeCell ref="C29:J29"/>
    <mergeCell ref="C16:J16"/>
    <mergeCell ref="C15:J15"/>
    <mergeCell ref="C20:J20"/>
  </mergeCells>
  <conditionalFormatting sqref="D27">
    <cfRule type="expression" dxfId="611" priority="1">
      <formula>MOD(ROW(),2)=0</formula>
    </cfRule>
  </conditionalFormatting>
  <pageMargins left="0.7" right="0.7" top="0.78740157499999996" bottom="0.78740157499999996" header="0.3" footer="0.3"/>
  <pageSetup paperSize="9" scale="71" orientation="portrait" r:id="rId1"/>
  <colBreaks count="1" manualBreakCount="1">
    <brk id="1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Hidden_Lists!$C$10:$C$17</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4"/>
  </sheetPr>
  <dimension ref="A2:EN316"/>
  <sheetViews>
    <sheetView zoomScaleNormal="100" workbookViewId="0">
      <selection activeCell="B101" sqref="B101"/>
    </sheetView>
  </sheetViews>
  <sheetFormatPr baseColWidth="10" defaultColWidth="12.5703125" defaultRowHeight="15" outlineLevelRow="1"/>
  <cols>
    <col min="1" max="1" width="4.140625" style="421" customWidth="1"/>
    <col min="2" max="2" width="56.85546875" style="402" customWidth="1"/>
    <col min="3" max="4" width="20.7109375" style="402" customWidth="1"/>
    <col min="5" max="7" width="27.5703125" style="402" customWidth="1"/>
    <col min="8" max="8" width="12.140625" style="402" customWidth="1"/>
    <col min="9" max="16384" width="12.5703125" style="402"/>
  </cols>
  <sheetData>
    <row r="2" spans="2:144" ht="18.75">
      <c r="B2" s="414" t="str">
        <f>VLOOKUP("General_Header",Hidden_Translations!$B$11:$J$1184,Hidden_Translations!$C$8,FALSE)</f>
        <v>Improving Cold Chain Energy Efficiency (ICCEE project)</v>
      </c>
      <c r="C2" s="415"/>
      <c r="D2" s="415"/>
      <c r="E2" s="415"/>
      <c r="F2" s="415"/>
      <c r="G2" s="415"/>
      <c r="H2" s="415"/>
    </row>
    <row r="4" spans="2:144" ht="18.75">
      <c r="B4" s="416" t="str">
        <f>VLOOKUP("Input_Header",Hidden_Translations!$B$11:$J$1184,Hidden_Translations!$C$8,FALSE)</f>
        <v>#2: Life Cycle Assessment: Input</v>
      </c>
      <c r="C4" s="417"/>
      <c r="D4" s="417"/>
      <c r="E4" s="417"/>
      <c r="F4" s="417"/>
      <c r="G4" s="417"/>
      <c r="H4" s="417"/>
    </row>
    <row r="5" spans="2:144" ht="15.95" customHeight="1">
      <c r="B5" s="418"/>
      <c r="C5" s="419"/>
      <c r="D5" s="419"/>
      <c r="E5" s="419"/>
      <c r="F5" s="419"/>
      <c r="G5" s="419"/>
      <c r="H5" s="419"/>
    </row>
    <row r="6" spans="2:144" ht="45" customHeight="1">
      <c r="B6" s="488" t="str">
        <f>VLOOKUP("Input_Header_Text",Hidden_Translations!$B$11:$J$1184,Hidden_Translations!$C$8,FALSE)</f>
        <v xml:space="preserve">Below you can specify your cold supply chain including the products under consideration, the means of transport and storage in the cold chain and the occurence of waste. Please go through the different parts of this sheet which tracks the product life cycle from raw material supplier to the retailer. Updown completion, please proceed to the results sheet to check on the life-cycle results per stage in the supply chain and for the entire supply chain. </v>
      </c>
      <c r="C6" s="488"/>
      <c r="D6" s="488"/>
      <c r="E6" s="488"/>
      <c r="F6" s="488"/>
      <c r="G6" s="488"/>
      <c r="H6" s="488"/>
    </row>
    <row r="7" spans="2:144" ht="15" customHeight="1">
      <c r="B7" s="412"/>
      <c r="C7" s="413"/>
      <c r="D7" s="413"/>
      <c r="E7" s="413"/>
      <c r="F7" s="413"/>
      <c r="G7" s="413"/>
      <c r="H7" s="413"/>
    </row>
    <row r="8" spans="2:144" ht="15" customHeight="1">
      <c r="B8" s="412"/>
      <c r="C8" s="413"/>
      <c r="D8" s="413"/>
      <c r="E8" s="413"/>
      <c r="F8" s="413"/>
      <c r="G8" s="413"/>
      <c r="H8" s="413"/>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405"/>
      <c r="CH8" s="405"/>
      <c r="CI8" s="405"/>
      <c r="CJ8" s="405"/>
      <c r="CK8" s="405"/>
      <c r="CL8" s="405"/>
      <c r="CM8" s="405"/>
      <c r="CN8" s="405"/>
      <c r="CO8" s="405"/>
      <c r="CP8" s="405"/>
      <c r="CQ8" s="405"/>
      <c r="CR8" s="405"/>
      <c r="CS8" s="405"/>
      <c r="CT8" s="405"/>
      <c r="CU8" s="405"/>
      <c r="CV8" s="405"/>
      <c r="CW8" s="405"/>
      <c r="CX8" s="405"/>
      <c r="CY8" s="405"/>
      <c r="CZ8" s="405"/>
      <c r="DA8" s="405"/>
      <c r="DB8" s="405"/>
      <c r="DC8" s="405"/>
      <c r="DD8" s="405"/>
      <c r="DE8" s="405"/>
      <c r="DF8" s="405"/>
      <c r="DG8" s="405"/>
      <c r="DH8" s="405"/>
      <c r="DI8" s="405"/>
      <c r="DJ8" s="405"/>
      <c r="DK8" s="405"/>
      <c r="DL8" s="405"/>
      <c r="DM8" s="405"/>
      <c r="DN8" s="405"/>
      <c r="DO8" s="405"/>
      <c r="DP8" s="405"/>
      <c r="DQ8" s="405"/>
      <c r="DR8" s="405"/>
      <c r="DS8" s="405"/>
      <c r="DT8" s="405"/>
      <c r="DU8" s="405"/>
      <c r="DV8" s="405"/>
      <c r="DW8" s="405"/>
      <c r="DX8" s="405"/>
      <c r="DY8" s="405"/>
      <c r="DZ8" s="405"/>
      <c r="EA8" s="405"/>
      <c r="EB8" s="405"/>
      <c r="EC8" s="405"/>
      <c r="ED8" s="405"/>
      <c r="EE8" s="405"/>
      <c r="EF8" s="405"/>
      <c r="EG8" s="405"/>
      <c r="EH8" s="405"/>
      <c r="EI8" s="405"/>
      <c r="EJ8" s="405"/>
      <c r="EK8" s="405"/>
      <c r="EL8" s="405"/>
      <c r="EM8" s="405"/>
      <c r="EN8" s="405"/>
    </row>
    <row r="9" spans="2:144" ht="15" customHeight="1">
      <c r="B9" s="412"/>
      <c r="C9" s="413"/>
      <c r="D9" s="413"/>
      <c r="E9" s="413"/>
      <c r="F9" s="413"/>
      <c r="G9" s="413"/>
      <c r="H9" s="413"/>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c r="CQ9" s="405"/>
      <c r="CR9" s="405"/>
      <c r="CS9" s="405"/>
      <c r="CT9" s="405"/>
      <c r="CU9" s="405"/>
      <c r="CV9" s="405"/>
      <c r="CW9" s="405"/>
      <c r="CX9" s="405"/>
      <c r="CY9" s="405"/>
      <c r="CZ9" s="405"/>
      <c r="DA9" s="405"/>
      <c r="DB9" s="405"/>
      <c r="DC9" s="405"/>
      <c r="DD9" s="405"/>
      <c r="DE9" s="405"/>
      <c r="DF9" s="405"/>
      <c r="DG9" s="405"/>
      <c r="DH9" s="405"/>
      <c r="DI9" s="405"/>
      <c r="DJ9" s="405"/>
      <c r="DK9" s="405"/>
      <c r="DL9" s="405"/>
      <c r="DM9" s="405"/>
      <c r="DN9" s="405"/>
      <c r="DO9" s="405"/>
      <c r="DP9" s="405"/>
      <c r="DQ9" s="405"/>
      <c r="DR9" s="405"/>
      <c r="DS9" s="405"/>
      <c r="DT9" s="405"/>
      <c r="DU9" s="405"/>
      <c r="DV9" s="405"/>
      <c r="DW9" s="405"/>
      <c r="DX9" s="405"/>
      <c r="DY9" s="405"/>
      <c r="DZ9" s="405"/>
      <c r="EA9" s="405"/>
      <c r="EB9" s="405"/>
      <c r="EC9" s="405"/>
      <c r="ED9" s="405"/>
      <c r="EE9" s="405"/>
      <c r="EF9" s="405"/>
      <c r="EG9" s="405"/>
      <c r="EH9" s="405"/>
      <c r="EI9" s="405"/>
      <c r="EJ9" s="405"/>
      <c r="EK9" s="405"/>
      <c r="EL9" s="405"/>
      <c r="EM9" s="405"/>
      <c r="EN9" s="405"/>
    </row>
    <row r="10" spans="2:144" ht="15" customHeight="1">
      <c r="B10" s="412"/>
      <c r="C10" s="413"/>
      <c r="D10" s="413"/>
      <c r="E10" s="413"/>
      <c r="F10" s="413"/>
      <c r="G10" s="413"/>
      <c r="H10" s="413"/>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5"/>
      <c r="BQ10" s="405"/>
      <c r="BR10" s="405"/>
      <c r="BS10" s="405"/>
      <c r="BT10" s="405"/>
      <c r="BU10" s="405"/>
      <c r="BV10" s="405"/>
      <c r="BW10" s="405"/>
      <c r="BX10" s="405"/>
      <c r="BY10" s="405"/>
      <c r="BZ10" s="405"/>
      <c r="CA10" s="405"/>
      <c r="CB10" s="405"/>
      <c r="CC10" s="405"/>
      <c r="CD10" s="405"/>
      <c r="CE10" s="405"/>
      <c r="CF10" s="405"/>
      <c r="CG10" s="405"/>
      <c r="CH10" s="405"/>
      <c r="CI10" s="405"/>
      <c r="CJ10" s="405"/>
      <c r="CK10" s="405"/>
      <c r="CL10" s="405"/>
      <c r="CM10" s="405"/>
      <c r="CN10" s="405"/>
      <c r="CO10" s="405"/>
      <c r="CP10" s="405"/>
      <c r="CQ10" s="405"/>
      <c r="CR10" s="405"/>
      <c r="CS10" s="405"/>
      <c r="CT10" s="405"/>
      <c r="CU10" s="405"/>
      <c r="CV10" s="405"/>
      <c r="CW10" s="405"/>
      <c r="CX10" s="405"/>
      <c r="CY10" s="405"/>
      <c r="CZ10" s="405"/>
      <c r="DA10" s="405"/>
      <c r="DB10" s="405"/>
      <c r="DC10" s="405"/>
      <c r="DD10" s="405"/>
      <c r="DE10" s="405"/>
      <c r="DF10" s="405"/>
      <c r="DG10" s="405"/>
      <c r="DH10" s="405"/>
      <c r="DI10" s="405"/>
      <c r="DJ10" s="405"/>
      <c r="DK10" s="405"/>
      <c r="DL10" s="405"/>
      <c r="DM10" s="405"/>
      <c r="DN10" s="405"/>
      <c r="DO10" s="405"/>
      <c r="DP10" s="405"/>
      <c r="DQ10" s="405"/>
      <c r="DR10" s="405"/>
      <c r="DS10" s="405"/>
      <c r="DT10" s="405"/>
      <c r="DU10" s="405"/>
      <c r="DV10" s="405"/>
      <c r="DW10" s="405"/>
      <c r="DX10" s="405"/>
      <c r="DY10" s="405"/>
      <c r="DZ10" s="405"/>
      <c r="EA10" s="405"/>
      <c r="EB10" s="405"/>
      <c r="EC10" s="405"/>
      <c r="ED10" s="405"/>
      <c r="EE10" s="405"/>
      <c r="EF10" s="405"/>
      <c r="EG10" s="405"/>
      <c r="EH10" s="405"/>
      <c r="EI10" s="405"/>
      <c r="EJ10" s="405"/>
      <c r="EK10" s="405"/>
      <c r="EL10" s="405"/>
      <c r="EM10" s="405"/>
      <c r="EN10" s="405"/>
    </row>
    <row r="11" spans="2:144" ht="15" customHeight="1">
      <c r="B11" s="412"/>
      <c r="C11" s="413"/>
      <c r="D11" s="413"/>
      <c r="E11" s="413"/>
      <c r="F11" s="413"/>
      <c r="G11" s="413"/>
      <c r="H11" s="413"/>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5"/>
      <c r="CB11" s="405"/>
      <c r="CC11" s="405"/>
      <c r="CD11" s="405"/>
      <c r="CE11" s="405"/>
      <c r="CF11" s="405"/>
      <c r="CG11" s="405"/>
      <c r="CH11" s="405"/>
      <c r="CI11" s="405"/>
      <c r="CJ11" s="405"/>
      <c r="CK11" s="405"/>
      <c r="CL11" s="405"/>
      <c r="CM11" s="405"/>
      <c r="CN11" s="405"/>
      <c r="CO11" s="405"/>
      <c r="CP11" s="405"/>
      <c r="CQ11" s="405"/>
      <c r="CR11" s="405"/>
      <c r="CS11" s="405"/>
      <c r="CT11" s="405"/>
      <c r="CU11" s="405"/>
      <c r="CV11" s="405"/>
      <c r="CW11" s="405"/>
      <c r="CX11" s="405"/>
      <c r="CY11" s="405"/>
      <c r="CZ11" s="405"/>
      <c r="DA11" s="405"/>
      <c r="DB11" s="405"/>
      <c r="DC11" s="405"/>
      <c r="DD11" s="405"/>
      <c r="DE11" s="405"/>
      <c r="DF11" s="405"/>
      <c r="DG11" s="405"/>
      <c r="DH11" s="405"/>
      <c r="DI11" s="405"/>
      <c r="DJ11" s="405"/>
      <c r="DK11" s="405"/>
      <c r="DL11" s="405"/>
      <c r="DM11" s="405"/>
      <c r="DN11" s="405"/>
      <c r="DO11" s="405"/>
      <c r="DP11" s="405"/>
      <c r="DQ11" s="405"/>
      <c r="DR11" s="405"/>
      <c r="DS11" s="405"/>
      <c r="DT11" s="405"/>
      <c r="DU11" s="405"/>
      <c r="DV11" s="405"/>
      <c r="DW11" s="405"/>
      <c r="DX11" s="405"/>
      <c r="DY11" s="405"/>
      <c r="DZ11" s="405"/>
      <c r="EA11" s="405"/>
      <c r="EB11" s="405"/>
      <c r="EC11" s="405"/>
      <c r="ED11" s="405"/>
      <c r="EE11" s="405"/>
      <c r="EF11" s="405"/>
      <c r="EG11" s="405"/>
      <c r="EH11" s="405"/>
      <c r="EI11" s="405"/>
      <c r="EJ11" s="405"/>
      <c r="EK11" s="405"/>
      <c r="EL11" s="405"/>
      <c r="EM11" s="405"/>
      <c r="EN11" s="405"/>
    </row>
    <row r="12" spans="2:144" ht="15" customHeight="1">
      <c r="B12" s="412"/>
      <c r="C12" s="413"/>
      <c r="D12" s="413"/>
      <c r="E12" s="413"/>
      <c r="F12" s="413"/>
      <c r="G12" s="413"/>
      <c r="H12" s="413"/>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5"/>
      <c r="BT12" s="405"/>
      <c r="BU12" s="405"/>
      <c r="BV12" s="405"/>
      <c r="BW12" s="405"/>
      <c r="BX12" s="405"/>
      <c r="BY12" s="405"/>
      <c r="BZ12" s="405"/>
      <c r="CA12" s="405"/>
      <c r="CB12" s="405"/>
      <c r="CC12" s="405"/>
      <c r="CD12" s="405"/>
      <c r="CE12" s="405"/>
      <c r="CF12" s="405"/>
      <c r="CG12" s="405"/>
      <c r="CH12" s="405"/>
      <c r="CI12" s="405"/>
      <c r="CJ12" s="405"/>
      <c r="CK12" s="405"/>
      <c r="CL12" s="405"/>
      <c r="CM12" s="405"/>
      <c r="CN12" s="405"/>
      <c r="CO12" s="405"/>
      <c r="CP12" s="405"/>
      <c r="CQ12" s="405"/>
      <c r="CR12" s="405"/>
      <c r="CS12" s="405"/>
      <c r="CT12" s="405"/>
      <c r="CU12" s="405"/>
      <c r="CV12" s="405"/>
      <c r="CW12" s="405"/>
      <c r="CX12" s="405"/>
      <c r="CY12" s="405"/>
      <c r="CZ12" s="405"/>
      <c r="DA12" s="405"/>
      <c r="DB12" s="405"/>
      <c r="DC12" s="405"/>
      <c r="DD12" s="405"/>
      <c r="DE12" s="405"/>
      <c r="DF12" s="405"/>
      <c r="DG12" s="405"/>
      <c r="DH12" s="405"/>
      <c r="DI12" s="405"/>
      <c r="DJ12" s="405"/>
      <c r="DK12" s="405"/>
      <c r="DL12" s="405"/>
      <c r="DM12" s="405"/>
      <c r="DN12" s="405"/>
      <c r="DO12" s="405"/>
      <c r="DP12" s="405"/>
      <c r="DQ12" s="405"/>
      <c r="DR12" s="405"/>
      <c r="DS12" s="405"/>
      <c r="DT12" s="405"/>
      <c r="DU12" s="405"/>
      <c r="DV12" s="405"/>
      <c r="DW12" s="405"/>
      <c r="DX12" s="405"/>
      <c r="DY12" s="405"/>
      <c r="DZ12" s="405"/>
      <c r="EA12" s="405"/>
      <c r="EB12" s="405"/>
      <c r="EC12" s="405"/>
      <c r="ED12" s="405"/>
      <c r="EE12" s="405"/>
      <c r="EF12" s="405"/>
      <c r="EG12" s="405"/>
      <c r="EH12" s="405"/>
      <c r="EI12" s="405"/>
      <c r="EJ12" s="405"/>
      <c r="EK12" s="405"/>
      <c r="EL12" s="405"/>
      <c r="EM12" s="405"/>
      <c r="EN12" s="405"/>
    </row>
    <row r="13" spans="2:144" ht="15" customHeight="1">
      <c r="B13" s="412"/>
      <c r="C13" s="413"/>
      <c r="D13" s="413"/>
      <c r="E13" s="413"/>
      <c r="F13" s="413"/>
      <c r="G13" s="413"/>
      <c r="H13" s="413"/>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5"/>
      <c r="BN13" s="405"/>
      <c r="BO13" s="405"/>
      <c r="BP13" s="405"/>
      <c r="BQ13" s="405"/>
      <c r="BR13" s="405"/>
      <c r="BS13" s="405"/>
      <c r="BT13" s="405"/>
      <c r="BU13" s="405"/>
      <c r="BV13" s="405"/>
      <c r="BW13" s="405"/>
      <c r="BX13" s="405"/>
      <c r="BY13" s="405"/>
      <c r="BZ13" s="405"/>
      <c r="CA13" s="405"/>
      <c r="CB13" s="405"/>
      <c r="CC13" s="405"/>
      <c r="CD13" s="405"/>
      <c r="CE13" s="405"/>
      <c r="CF13" s="405"/>
      <c r="CG13" s="405"/>
      <c r="CH13" s="405"/>
      <c r="CI13" s="405"/>
      <c r="CJ13" s="405"/>
      <c r="CK13" s="405"/>
      <c r="CL13" s="405"/>
      <c r="CM13" s="405"/>
      <c r="CN13" s="405"/>
      <c r="CO13" s="405"/>
      <c r="CP13" s="405"/>
      <c r="CQ13" s="405"/>
      <c r="CR13" s="405"/>
      <c r="CS13" s="405"/>
      <c r="CT13" s="405"/>
      <c r="CU13" s="405"/>
      <c r="CV13" s="405"/>
      <c r="CW13" s="405"/>
      <c r="CX13" s="405"/>
      <c r="CY13" s="405"/>
      <c r="CZ13" s="405"/>
      <c r="DA13" s="405"/>
      <c r="DB13" s="405"/>
      <c r="DC13" s="405"/>
      <c r="DD13" s="405"/>
      <c r="DE13" s="405"/>
      <c r="DF13" s="405"/>
      <c r="DG13" s="405"/>
      <c r="DH13" s="405"/>
      <c r="DI13" s="405"/>
      <c r="DJ13" s="405"/>
      <c r="DK13" s="405"/>
      <c r="DL13" s="405"/>
      <c r="DM13" s="405"/>
      <c r="DN13" s="405"/>
      <c r="DO13" s="405"/>
      <c r="DP13" s="405"/>
      <c r="DQ13" s="405"/>
      <c r="DR13" s="405"/>
      <c r="DS13" s="405"/>
      <c r="DT13" s="405"/>
      <c r="DU13" s="405"/>
      <c r="DV13" s="405"/>
      <c r="DW13" s="405"/>
      <c r="DX13" s="405"/>
      <c r="DY13" s="405"/>
      <c r="DZ13" s="405"/>
      <c r="EA13" s="405"/>
      <c r="EB13" s="405"/>
      <c r="EC13" s="405"/>
      <c r="ED13" s="405"/>
      <c r="EE13" s="405"/>
      <c r="EF13" s="405"/>
      <c r="EG13" s="405"/>
      <c r="EH13" s="405"/>
      <c r="EI13" s="405"/>
      <c r="EJ13" s="405"/>
      <c r="EK13" s="405"/>
      <c r="EL13" s="405"/>
      <c r="EM13" s="405"/>
      <c r="EN13" s="405"/>
    </row>
    <row r="14" spans="2:144" ht="15" customHeight="1">
      <c r="B14" s="412"/>
      <c r="C14" s="413"/>
      <c r="D14" s="413"/>
      <c r="E14" s="413"/>
      <c r="F14" s="413"/>
      <c r="G14" s="413"/>
      <c r="H14" s="413"/>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5"/>
      <c r="BN14" s="405"/>
      <c r="BO14" s="405"/>
      <c r="BP14" s="405"/>
      <c r="BQ14" s="405"/>
      <c r="BR14" s="405"/>
      <c r="BS14" s="405"/>
      <c r="BT14" s="405"/>
      <c r="BU14" s="405"/>
      <c r="BV14" s="405"/>
      <c r="BW14" s="405"/>
      <c r="BX14" s="405"/>
      <c r="BY14" s="405"/>
      <c r="BZ14" s="405"/>
      <c r="CA14" s="405"/>
      <c r="CB14" s="405"/>
      <c r="CC14" s="405"/>
      <c r="CD14" s="405"/>
      <c r="CE14" s="405"/>
      <c r="CF14" s="405"/>
      <c r="CG14" s="405"/>
      <c r="CH14" s="405"/>
      <c r="CI14" s="405"/>
      <c r="CJ14" s="405"/>
      <c r="CK14" s="405"/>
      <c r="CL14" s="405"/>
      <c r="CM14" s="405"/>
      <c r="CN14" s="405"/>
      <c r="CO14" s="405"/>
      <c r="CP14" s="405"/>
      <c r="CQ14" s="405"/>
      <c r="CR14" s="405"/>
      <c r="CS14" s="405"/>
      <c r="CT14" s="405"/>
      <c r="CU14" s="405"/>
      <c r="CV14" s="405"/>
      <c r="CW14" s="405"/>
      <c r="CX14" s="405"/>
      <c r="CY14" s="405"/>
      <c r="CZ14" s="405"/>
      <c r="DA14" s="405"/>
      <c r="DB14" s="405"/>
      <c r="DC14" s="405"/>
      <c r="DD14" s="405"/>
      <c r="DE14" s="405"/>
      <c r="DF14" s="405"/>
      <c r="DG14" s="405"/>
      <c r="DH14" s="405"/>
      <c r="DI14" s="405"/>
      <c r="DJ14" s="405"/>
      <c r="DK14" s="405"/>
      <c r="DL14" s="405"/>
      <c r="DM14" s="405"/>
      <c r="DN14" s="405"/>
      <c r="DO14" s="405"/>
      <c r="DP14" s="405"/>
      <c r="DQ14" s="405"/>
      <c r="DR14" s="405"/>
      <c r="DS14" s="405"/>
      <c r="DT14" s="405"/>
      <c r="DU14" s="405"/>
      <c r="DV14" s="405"/>
      <c r="DW14" s="405"/>
      <c r="DX14" s="405"/>
      <c r="DY14" s="405"/>
      <c r="DZ14" s="405"/>
      <c r="EA14" s="405"/>
      <c r="EB14" s="405"/>
      <c r="EC14" s="405"/>
      <c r="ED14" s="405"/>
      <c r="EE14" s="405"/>
      <c r="EF14" s="405"/>
      <c r="EG14" s="405"/>
      <c r="EH14" s="405"/>
      <c r="EI14" s="405"/>
      <c r="EJ14" s="405"/>
      <c r="EK14" s="405"/>
      <c r="EL14" s="405"/>
      <c r="EM14" s="405"/>
      <c r="EN14" s="405"/>
    </row>
    <row r="15" spans="2:144" ht="15" customHeight="1">
      <c r="B15" s="412"/>
      <c r="C15" s="413"/>
      <c r="D15" s="413"/>
      <c r="E15" s="413"/>
      <c r="F15" s="413"/>
      <c r="G15" s="413"/>
      <c r="H15" s="413"/>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5"/>
      <c r="BO15" s="405"/>
      <c r="BP15" s="405"/>
      <c r="BQ15" s="405"/>
      <c r="BR15" s="405"/>
      <c r="BS15" s="405"/>
      <c r="BT15" s="405"/>
      <c r="BU15" s="405"/>
      <c r="BV15" s="405"/>
      <c r="BW15" s="405"/>
      <c r="BX15" s="405"/>
      <c r="BY15" s="405"/>
      <c r="BZ15" s="405"/>
      <c r="CA15" s="405"/>
      <c r="CB15" s="405"/>
      <c r="CC15" s="405"/>
      <c r="CD15" s="405"/>
      <c r="CE15" s="405"/>
      <c r="CF15" s="405"/>
      <c r="CG15" s="405"/>
      <c r="CH15" s="405"/>
      <c r="CI15" s="405"/>
      <c r="CJ15" s="405"/>
      <c r="CK15" s="405"/>
      <c r="CL15" s="405"/>
      <c r="CM15" s="405"/>
      <c r="CN15" s="405"/>
      <c r="CO15" s="405"/>
      <c r="CP15" s="405"/>
      <c r="CQ15" s="405"/>
      <c r="CR15" s="405"/>
      <c r="CS15" s="405"/>
      <c r="CT15" s="405"/>
      <c r="CU15" s="405"/>
      <c r="CV15" s="405"/>
      <c r="CW15" s="405"/>
      <c r="CX15" s="405"/>
      <c r="CY15" s="405"/>
      <c r="CZ15" s="405"/>
      <c r="DA15" s="405"/>
      <c r="DB15" s="405"/>
      <c r="DC15" s="405"/>
      <c r="DD15" s="405"/>
      <c r="DE15" s="405"/>
      <c r="DF15" s="405"/>
      <c r="DG15" s="405"/>
      <c r="DH15" s="405"/>
      <c r="DI15" s="405"/>
      <c r="DJ15" s="405"/>
      <c r="DK15" s="405"/>
      <c r="DL15" s="405"/>
      <c r="DM15" s="405"/>
      <c r="DN15" s="405"/>
      <c r="DO15" s="405"/>
      <c r="DP15" s="405"/>
      <c r="DQ15" s="405"/>
      <c r="DR15" s="405"/>
      <c r="DS15" s="405"/>
      <c r="DT15" s="405"/>
      <c r="DU15" s="405"/>
      <c r="DV15" s="405"/>
      <c r="DW15" s="405"/>
      <c r="DX15" s="405"/>
      <c r="DY15" s="405"/>
      <c r="DZ15" s="405"/>
      <c r="EA15" s="405"/>
      <c r="EB15" s="405"/>
      <c r="EC15" s="405"/>
      <c r="ED15" s="405"/>
      <c r="EE15" s="405"/>
      <c r="EF15" s="405"/>
      <c r="EG15" s="405"/>
      <c r="EH15" s="405"/>
      <c r="EI15" s="405"/>
      <c r="EJ15" s="405"/>
      <c r="EK15" s="405"/>
      <c r="EL15" s="405"/>
      <c r="EM15" s="405"/>
      <c r="EN15" s="405"/>
    </row>
    <row r="16" spans="2:144" ht="15" customHeight="1">
      <c r="B16" s="412"/>
      <c r="C16" s="413"/>
      <c r="D16" s="413"/>
      <c r="E16" s="413"/>
      <c r="F16" s="413"/>
      <c r="G16" s="413"/>
      <c r="H16" s="413"/>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5"/>
      <c r="CQ16" s="405"/>
      <c r="CR16" s="405"/>
      <c r="CS16" s="405"/>
      <c r="CT16" s="405"/>
      <c r="CU16" s="405"/>
      <c r="CV16" s="405"/>
      <c r="CW16" s="405"/>
      <c r="CX16" s="405"/>
      <c r="CY16" s="405"/>
      <c r="CZ16" s="405"/>
      <c r="DA16" s="405"/>
      <c r="DB16" s="405"/>
      <c r="DC16" s="405"/>
      <c r="DD16" s="405"/>
      <c r="DE16" s="405"/>
      <c r="DF16" s="405"/>
      <c r="DG16" s="405"/>
      <c r="DH16" s="405"/>
      <c r="DI16" s="405"/>
      <c r="DJ16" s="405"/>
      <c r="DK16" s="405"/>
      <c r="DL16" s="405"/>
      <c r="DM16" s="405"/>
      <c r="DN16" s="405"/>
      <c r="DO16" s="405"/>
      <c r="DP16" s="405"/>
      <c r="DQ16" s="405"/>
      <c r="DR16" s="405"/>
      <c r="DS16" s="405"/>
      <c r="DT16" s="405"/>
      <c r="DU16" s="405"/>
      <c r="DV16" s="405"/>
      <c r="DW16" s="405"/>
      <c r="DX16" s="405"/>
      <c r="DY16" s="405"/>
      <c r="DZ16" s="405"/>
      <c r="EA16" s="405"/>
      <c r="EB16" s="405"/>
      <c r="EC16" s="405"/>
      <c r="ED16" s="405"/>
      <c r="EE16" s="405"/>
      <c r="EF16" s="405"/>
      <c r="EG16" s="405"/>
      <c r="EH16" s="405"/>
      <c r="EI16" s="405"/>
      <c r="EJ16" s="405"/>
      <c r="EK16" s="405"/>
      <c r="EL16" s="405"/>
      <c r="EM16" s="405"/>
      <c r="EN16" s="405"/>
    </row>
    <row r="17" spans="1:144" ht="15" customHeight="1">
      <c r="B17" s="412"/>
      <c r="C17" s="413"/>
      <c r="D17" s="413"/>
      <c r="E17" s="413"/>
      <c r="F17" s="413"/>
      <c r="G17" s="413"/>
      <c r="H17" s="413"/>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5"/>
      <c r="BQ17" s="405"/>
      <c r="BR17" s="405"/>
      <c r="BS17" s="405"/>
      <c r="BT17" s="405"/>
      <c r="BU17" s="405"/>
      <c r="BV17" s="405"/>
      <c r="BW17" s="405"/>
      <c r="BX17" s="405"/>
      <c r="BY17" s="405"/>
      <c r="BZ17" s="405"/>
      <c r="CA17" s="405"/>
      <c r="CB17" s="405"/>
      <c r="CC17" s="405"/>
      <c r="CD17" s="405"/>
      <c r="CE17" s="405"/>
      <c r="CF17" s="405"/>
      <c r="CG17" s="405"/>
      <c r="CH17" s="405"/>
      <c r="CI17" s="405"/>
      <c r="CJ17" s="405"/>
      <c r="CK17" s="405"/>
      <c r="CL17" s="405"/>
      <c r="CM17" s="405"/>
      <c r="CN17" s="405"/>
      <c r="CO17" s="405"/>
      <c r="CP17" s="405"/>
      <c r="CQ17" s="405"/>
      <c r="CR17" s="405"/>
      <c r="CS17" s="405"/>
      <c r="CT17" s="405"/>
      <c r="CU17" s="405"/>
      <c r="CV17" s="405"/>
      <c r="CW17" s="405"/>
      <c r="CX17" s="405"/>
      <c r="CY17" s="405"/>
      <c r="CZ17" s="405"/>
      <c r="DA17" s="405"/>
      <c r="DB17" s="405"/>
      <c r="DC17" s="405"/>
      <c r="DD17" s="405"/>
      <c r="DE17" s="405"/>
      <c r="DF17" s="405"/>
      <c r="DG17" s="405"/>
      <c r="DH17" s="405"/>
      <c r="DI17" s="405"/>
      <c r="DJ17" s="405"/>
      <c r="DK17" s="405"/>
      <c r="DL17" s="405"/>
      <c r="DM17" s="405"/>
      <c r="DN17" s="405"/>
      <c r="DO17" s="405"/>
      <c r="DP17" s="405"/>
      <c r="DQ17" s="405"/>
      <c r="DR17" s="405"/>
      <c r="DS17" s="405"/>
      <c r="DT17" s="405"/>
      <c r="DU17" s="405"/>
      <c r="DV17" s="405"/>
      <c r="DW17" s="405"/>
      <c r="DX17" s="405"/>
      <c r="DY17" s="405"/>
      <c r="DZ17" s="405"/>
      <c r="EA17" s="405"/>
      <c r="EB17" s="405"/>
      <c r="EC17" s="405"/>
      <c r="ED17" s="405"/>
      <c r="EE17" s="405"/>
      <c r="EF17" s="405"/>
      <c r="EG17" s="405"/>
      <c r="EH17" s="405"/>
      <c r="EI17" s="405"/>
      <c r="EJ17" s="405"/>
      <c r="EK17" s="405"/>
      <c r="EL17" s="405"/>
      <c r="EM17" s="405"/>
      <c r="EN17" s="405"/>
    </row>
    <row r="18" spans="1:144" ht="15" customHeight="1">
      <c r="B18" s="435" t="str">
        <f>VLOOKUP("Input_0_Header",Hidden_Translations!$B$11:$J$1184,Hidden_Translations!$C$8,FALSE)</f>
        <v>#0: General</v>
      </c>
      <c r="C18" s="436"/>
      <c r="D18" s="436"/>
      <c r="E18" s="436"/>
      <c r="F18" s="436"/>
      <c r="G18" s="436"/>
      <c r="H18" s="436"/>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c r="BW18" s="405"/>
      <c r="BX18" s="405"/>
      <c r="BY18" s="405"/>
      <c r="BZ18" s="405"/>
      <c r="CA18" s="405"/>
      <c r="CB18" s="405"/>
      <c r="CC18" s="405"/>
      <c r="CD18" s="405"/>
      <c r="CE18" s="405"/>
      <c r="CF18" s="405"/>
      <c r="CG18" s="405"/>
      <c r="CH18" s="405"/>
      <c r="CI18" s="405"/>
      <c r="CJ18" s="405"/>
      <c r="CK18" s="405"/>
      <c r="CL18" s="405"/>
      <c r="CM18" s="405"/>
      <c r="CN18" s="405"/>
      <c r="CO18" s="405"/>
      <c r="CP18" s="405"/>
      <c r="CQ18" s="405"/>
      <c r="CR18" s="405"/>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405"/>
      <c r="DP18" s="405"/>
      <c r="DQ18" s="405"/>
      <c r="DR18" s="405"/>
      <c r="DS18" s="405"/>
      <c r="DT18" s="405"/>
      <c r="DU18" s="405"/>
      <c r="DV18" s="405"/>
      <c r="DW18" s="405"/>
      <c r="DX18" s="405"/>
      <c r="DY18" s="405"/>
      <c r="DZ18" s="405"/>
      <c r="EA18" s="405"/>
      <c r="EB18" s="405"/>
      <c r="EC18" s="405"/>
      <c r="ED18" s="405"/>
      <c r="EE18" s="405"/>
      <c r="EF18" s="405"/>
      <c r="EG18" s="405"/>
      <c r="EH18" s="405"/>
      <c r="EI18" s="405"/>
      <c r="EJ18" s="405"/>
      <c r="EK18" s="405"/>
      <c r="EL18" s="405"/>
      <c r="EM18" s="405"/>
      <c r="EN18" s="405"/>
    </row>
    <row r="19" spans="1:144" ht="15" customHeight="1">
      <c r="B19" s="412"/>
      <c r="C19" s="413"/>
      <c r="D19" s="413"/>
      <c r="E19" s="413"/>
      <c r="F19" s="413"/>
      <c r="G19" s="413"/>
      <c r="H19" s="413"/>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c r="BY19" s="405"/>
      <c r="BZ19" s="405"/>
      <c r="CA19" s="405"/>
      <c r="CB19" s="405"/>
      <c r="CC19" s="405"/>
      <c r="CD19" s="405"/>
      <c r="CE19" s="405"/>
      <c r="CF19" s="405"/>
      <c r="CG19" s="405"/>
      <c r="CH19" s="405"/>
      <c r="CI19" s="405"/>
      <c r="CJ19" s="405"/>
      <c r="CK19" s="405"/>
      <c r="CL19" s="405"/>
      <c r="CM19" s="405"/>
      <c r="CN19" s="405"/>
      <c r="CO19" s="405"/>
      <c r="CP19" s="405"/>
      <c r="CQ19" s="405"/>
      <c r="CR19" s="405"/>
      <c r="CS19" s="405"/>
      <c r="CT19" s="405"/>
      <c r="CU19" s="405"/>
      <c r="CV19" s="405"/>
      <c r="CW19" s="405"/>
      <c r="CX19" s="405"/>
      <c r="CY19" s="405"/>
      <c r="CZ19" s="405"/>
      <c r="DA19" s="405"/>
      <c r="DB19" s="405"/>
      <c r="DC19" s="405"/>
      <c r="DD19" s="405"/>
      <c r="DE19" s="405"/>
      <c r="DF19" s="405"/>
      <c r="DG19" s="405"/>
      <c r="DH19" s="405"/>
      <c r="DI19" s="405"/>
      <c r="DJ19" s="405"/>
      <c r="DK19" s="405"/>
      <c r="DL19" s="405"/>
      <c r="DM19" s="405"/>
      <c r="DN19" s="405"/>
      <c r="DO19" s="405"/>
      <c r="DP19" s="405"/>
      <c r="DQ19" s="405"/>
      <c r="DR19" s="405"/>
      <c r="DS19" s="405"/>
      <c r="DT19" s="405"/>
      <c r="DU19" s="405"/>
      <c r="DV19" s="405"/>
      <c r="DW19" s="405"/>
      <c r="DX19" s="405"/>
      <c r="DY19" s="405"/>
      <c r="DZ19" s="405"/>
      <c r="EA19" s="405"/>
      <c r="EB19" s="405"/>
      <c r="EC19" s="405"/>
      <c r="ED19" s="405"/>
      <c r="EE19" s="405"/>
      <c r="EF19" s="405"/>
      <c r="EG19" s="405"/>
      <c r="EH19" s="405"/>
      <c r="EI19" s="405"/>
      <c r="EJ19" s="405"/>
      <c r="EK19" s="405"/>
      <c r="EL19" s="405"/>
      <c r="EM19" s="405"/>
      <c r="EN19" s="405"/>
    </row>
    <row r="20" spans="1:144" s="438" customFormat="1" ht="30" customHeight="1" outlineLevel="1">
      <c r="A20" s="437"/>
      <c r="B20" s="488" t="str">
        <f>VLOOKUP("Input_0_Header_Text",Hidden_Translations!$B$11:$J$1184,Hidden_Translations!$C$8,FALSE)</f>
        <v>Please chose first whether you would like to analyze a regional or global supply chain. The global suply chain includes additional steps in the chain for long-distance transportation (see illustration above).</v>
      </c>
      <c r="C20" s="488"/>
      <c r="D20" s="488"/>
      <c r="E20" s="488"/>
      <c r="F20" s="488"/>
      <c r="G20" s="488"/>
      <c r="H20" s="488"/>
      <c r="U20" s="439"/>
      <c r="V20" s="439"/>
      <c r="W20" s="439"/>
      <c r="X20" s="439"/>
      <c r="Y20" s="439"/>
      <c r="Z20" s="439"/>
      <c r="AA20" s="439"/>
      <c r="AB20" s="439"/>
      <c r="AC20" s="439"/>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39"/>
      <c r="AZ20" s="439"/>
      <c r="BA20" s="439"/>
      <c r="BB20" s="439"/>
      <c r="BC20" s="439"/>
      <c r="BD20" s="439"/>
      <c r="BE20" s="439"/>
      <c r="BF20" s="439"/>
      <c r="BG20" s="439"/>
      <c r="BH20" s="439"/>
      <c r="BI20" s="439"/>
      <c r="BJ20" s="439"/>
      <c r="BK20" s="439"/>
      <c r="BL20" s="439"/>
      <c r="BM20" s="439"/>
      <c r="BN20" s="439"/>
      <c r="BO20" s="439"/>
      <c r="BP20" s="439"/>
      <c r="BQ20" s="439"/>
      <c r="BR20" s="439"/>
      <c r="BS20" s="439"/>
      <c r="BT20" s="439"/>
      <c r="BU20" s="439"/>
      <c r="BV20" s="439"/>
      <c r="BW20" s="439"/>
      <c r="BX20" s="439"/>
      <c r="BY20" s="439"/>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c r="DB20" s="439"/>
      <c r="DC20" s="439"/>
      <c r="DD20" s="439"/>
      <c r="DE20" s="439"/>
      <c r="DF20" s="439"/>
      <c r="DG20" s="439"/>
      <c r="DH20" s="439"/>
      <c r="DI20" s="439"/>
      <c r="DJ20" s="439"/>
      <c r="DK20" s="439"/>
      <c r="DL20" s="439"/>
      <c r="DM20" s="439"/>
      <c r="DN20" s="439"/>
      <c r="DO20" s="439"/>
      <c r="DP20" s="439"/>
      <c r="DQ20" s="439"/>
      <c r="DR20" s="439"/>
      <c r="DS20" s="439"/>
      <c r="DT20" s="439"/>
      <c r="DU20" s="439"/>
      <c r="DV20" s="439"/>
      <c r="DW20" s="439"/>
      <c r="DX20" s="439"/>
      <c r="DY20" s="439"/>
      <c r="DZ20" s="439"/>
      <c r="EA20" s="439"/>
      <c r="EB20" s="439"/>
      <c r="EC20" s="439"/>
      <c r="ED20" s="439"/>
      <c r="EE20" s="439"/>
      <c r="EF20" s="439"/>
      <c r="EG20" s="439"/>
      <c r="EH20" s="439"/>
      <c r="EI20" s="439"/>
      <c r="EJ20" s="439"/>
      <c r="EK20" s="439"/>
      <c r="EL20" s="439"/>
      <c r="EM20" s="439"/>
      <c r="EN20" s="439"/>
    </row>
    <row r="21" spans="1:144" ht="15" customHeight="1" outlineLevel="1">
      <c r="B21" s="412"/>
      <c r="C21" s="413"/>
      <c r="D21" s="413"/>
      <c r="E21" s="413"/>
      <c r="F21" s="413"/>
      <c r="G21" s="413"/>
      <c r="H21" s="413"/>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c r="BB21" s="405"/>
      <c r="BC21" s="405"/>
      <c r="BD21" s="405"/>
      <c r="BE21" s="405"/>
      <c r="BF21" s="405"/>
      <c r="BG21" s="405"/>
      <c r="BH21" s="405"/>
      <c r="BI21" s="405"/>
      <c r="BJ21" s="405"/>
      <c r="BK21" s="405"/>
      <c r="BL21" s="405"/>
      <c r="BM21" s="405"/>
      <c r="BN21" s="405"/>
      <c r="BO21" s="405"/>
      <c r="BP21" s="405"/>
      <c r="BQ21" s="405"/>
      <c r="BR21" s="405"/>
      <c r="BS21" s="405"/>
      <c r="BT21" s="405"/>
      <c r="BU21" s="405"/>
      <c r="BV21" s="405"/>
      <c r="BW21" s="405"/>
      <c r="BX21" s="405"/>
      <c r="BY21" s="405"/>
      <c r="BZ21" s="405"/>
      <c r="CA21" s="405"/>
      <c r="CB21" s="405"/>
      <c r="CC21" s="405"/>
      <c r="CD21" s="405"/>
      <c r="CE21" s="405"/>
      <c r="CF21" s="405"/>
      <c r="CG21" s="405"/>
      <c r="CH21" s="405"/>
      <c r="CI21" s="405"/>
      <c r="CJ21" s="405"/>
      <c r="CK21" s="405"/>
      <c r="CL21" s="405"/>
      <c r="CM21" s="405"/>
      <c r="CN21" s="405"/>
      <c r="CO21" s="405"/>
      <c r="CP21" s="405"/>
      <c r="CQ21" s="405"/>
      <c r="CR21" s="405"/>
      <c r="CS21" s="405"/>
      <c r="CT21" s="405"/>
      <c r="CU21" s="405"/>
      <c r="CV21" s="405"/>
      <c r="CW21" s="405"/>
      <c r="CX21" s="405"/>
      <c r="CY21" s="405"/>
      <c r="CZ21" s="405"/>
      <c r="DA21" s="405"/>
      <c r="DB21" s="405"/>
      <c r="DC21" s="405"/>
      <c r="DD21" s="405"/>
      <c r="DE21" s="405"/>
      <c r="DF21" s="405"/>
      <c r="DG21" s="405"/>
      <c r="DH21" s="405"/>
      <c r="DI21" s="405"/>
      <c r="DJ21" s="405"/>
      <c r="DK21" s="405"/>
      <c r="DL21" s="405"/>
      <c r="DM21" s="405"/>
      <c r="DN21" s="405"/>
      <c r="DO21" s="405"/>
      <c r="DP21" s="405"/>
      <c r="DQ21" s="405"/>
      <c r="DR21" s="405"/>
      <c r="DS21" s="405"/>
      <c r="DT21" s="405"/>
      <c r="DU21" s="405"/>
      <c r="DV21" s="405"/>
      <c r="DW21" s="405"/>
      <c r="DX21" s="405"/>
      <c r="DY21" s="405"/>
      <c r="DZ21" s="405"/>
      <c r="EA21" s="405"/>
      <c r="EB21" s="405"/>
      <c r="EC21" s="405"/>
      <c r="ED21" s="405"/>
      <c r="EE21" s="405"/>
      <c r="EF21" s="405"/>
      <c r="EG21" s="405"/>
      <c r="EH21" s="405"/>
      <c r="EI21" s="405"/>
      <c r="EJ21" s="405"/>
      <c r="EK21" s="405"/>
      <c r="EL21" s="405"/>
      <c r="EM21" s="405"/>
      <c r="EN21" s="405"/>
    </row>
    <row r="22" spans="1:144" ht="15" customHeight="1" outlineLevel="1">
      <c r="B22" s="420" t="str">
        <f>VLOOKUP("Input_0_Chain_Type",Hidden_Translations!$B$11:$J$1184,Hidden_Translations!$C$8,FALSE)</f>
        <v>Select the type of cold chain</v>
      </c>
      <c r="C22" s="411"/>
      <c r="D22" s="411"/>
      <c r="E22" s="411"/>
      <c r="F22" s="260"/>
      <c r="G22" s="420" t="str">
        <f>VLOOKUP("Units_Selection",Hidden_Translations!$B$11:$J$1184,Hidden_Translations!$C$8,FALSE)</f>
        <v>[Selection]</v>
      </c>
      <c r="H22" s="411"/>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5"/>
      <c r="BX22" s="405"/>
      <c r="BY22" s="405"/>
      <c r="BZ22" s="405"/>
      <c r="CA22" s="405"/>
      <c r="CB22" s="405"/>
      <c r="CC22" s="405"/>
      <c r="CD22" s="405"/>
      <c r="CE22" s="405"/>
      <c r="CF22" s="405"/>
      <c r="CG22" s="405"/>
      <c r="CH22" s="405"/>
      <c r="CI22" s="405"/>
      <c r="CJ22" s="405"/>
      <c r="CK22" s="405"/>
      <c r="CL22" s="405"/>
      <c r="CM22" s="405"/>
      <c r="CN22" s="405"/>
      <c r="CO22" s="405"/>
      <c r="CP22" s="405"/>
      <c r="CQ22" s="405"/>
      <c r="CR22" s="405"/>
      <c r="CS22" s="405"/>
      <c r="CT22" s="405"/>
      <c r="CU22" s="405"/>
      <c r="CV22" s="405"/>
      <c r="CW22" s="405"/>
      <c r="CX22" s="405"/>
      <c r="CY22" s="405"/>
      <c r="CZ22" s="405"/>
      <c r="DA22" s="405"/>
      <c r="DB22" s="405"/>
      <c r="DC22" s="405"/>
      <c r="DD22" s="405"/>
      <c r="DE22" s="405"/>
      <c r="DF22" s="405"/>
      <c r="DG22" s="405"/>
      <c r="DH22" s="405"/>
      <c r="DI22" s="405"/>
      <c r="DJ22" s="405"/>
      <c r="DK22" s="405"/>
      <c r="DL22" s="405"/>
      <c r="DM22" s="405"/>
      <c r="DN22" s="405"/>
      <c r="DO22" s="405"/>
      <c r="DP22" s="405"/>
      <c r="DQ22" s="405"/>
      <c r="DR22" s="405"/>
      <c r="DS22" s="405"/>
      <c r="DT22" s="405"/>
      <c r="DU22" s="405"/>
      <c r="DV22" s="405"/>
      <c r="DW22" s="405"/>
      <c r="DX22" s="405"/>
      <c r="DY22" s="405"/>
      <c r="DZ22" s="405"/>
      <c r="EA22" s="405"/>
      <c r="EB22" s="405"/>
      <c r="EC22" s="405"/>
      <c r="ED22" s="405"/>
      <c r="EE22" s="405"/>
      <c r="EF22" s="405"/>
      <c r="EG22" s="405"/>
      <c r="EH22" s="405"/>
      <c r="EI22" s="405"/>
      <c r="EJ22" s="405"/>
      <c r="EK22" s="405"/>
      <c r="EL22" s="405"/>
      <c r="EM22" s="405"/>
      <c r="EN22" s="405"/>
    </row>
    <row r="23" spans="1:144" ht="15" customHeight="1" outlineLevel="1">
      <c r="B23" s="412"/>
      <c r="C23" s="413"/>
      <c r="D23" s="413"/>
      <c r="E23" s="413"/>
      <c r="F23" s="413"/>
      <c r="G23" s="413"/>
      <c r="H23" s="413"/>
      <c r="U23" s="405"/>
      <c r="V23" s="405"/>
      <c r="W23" s="405"/>
      <c r="X23" s="405"/>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c r="BF23" s="405"/>
      <c r="BG23" s="405"/>
      <c r="BH23" s="405"/>
      <c r="BI23" s="405"/>
      <c r="BJ23" s="405"/>
      <c r="BK23" s="405"/>
      <c r="BL23" s="405"/>
      <c r="BM23" s="405"/>
      <c r="BN23" s="405"/>
      <c r="BO23" s="405"/>
      <c r="BP23" s="405"/>
      <c r="BQ23" s="405"/>
      <c r="BR23" s="405"/>
      <c r="BS23" s="405"/>
      <c r="BT23" s="405"/>
      <c r="BU23" s="405"/>
      <c r="BV23" s="405"/>
      <c r="BW23" s="405"/>
      <c r="BX23" s="405"/>
      <c r="BY23" s="405"/>
      <c r="BZ23" s="405"/>
      <c r="CA23" s="405"/>
      <c r="CB23" s="405"/>
      <c r="CC23" s="405"/>
      <c r="CD23" s="405"/>
      <c r="CE23" s="405"/>
      <c r="CF23" s="405"/>
      <c r="CG23" s="405"/>
      <c r="CH23" s="405"/>
      <c r="CI23" s="405"/>
      <c r="CJ23" s="405"/>
      <c r="CK23" s="405"/>
      <c r="CL23" s="405"/>
      <c r="CM23" s="405"/>
      <c r="CN23" s="405"/>
      <c r="CO23" s="405"/>
      <c r="CP23" s="405"/>
      <c r="CQ23" s="405"/>
      <c r="CR23" s="405"/>
      <c r="CS23" s="405"/>
      <c r="CT23" s="405"/>
      <c r="CU23" s="405"/>
      <c r="CV23" s="405"/>
      <c r="CW23" s="405"/>
      <c r="CX23" s="405"/>
      <c r="CY23" s="405"/>
      <c r="CZ23" s="405"/>
      <c r="DA23" s="405"/>
      <c r="DB23" s="405"/>
      <c r="DC23" s="405"/>
      <c r="DD23" s="405"/>
      <c r="DE23" s="405"/>
      <c r="DF23" s="405"/>
      <c r="DG23" s="405"/>
      <c r="DH23" s="405"/>
      <c r="DI23" s="405"/>
      <c r="DJ23" s="405"/>
      <c r="DK23" s="405"/>
      <c r="DL23" s="405"/>
      <c r="DM23" s="405"/>
      <c r="DN23" s="405"/>
      <c r="DO23" s="405"/>
      <c r="DP23" s="405"/>
      <c r="DQ23" s="405"/>
      <c r="DR23" s="405"/>
      <c r="DS23" s="405"/>
      <c r="DT23" s="405"/>
      <c r="DU23" s="405"/>
      <c r="DV23" s="405"/>
      <c r="DW23" s="405"/>
      <c r="DX23" s="405"/>
      <c r="DY23" s="405"/>
      <c r="DZ23" s="405"/>
      <c r="EA23" s="405"/>
      <c r="EB23" s="405"/>
      <c r="EC23" s="405"/>
      <c r="ED23" s="405"/>
      <c r="EE23" s="405"/>
      <c r="EF23" s="405"/>
      <c r="EG23" s="405"/>
      <c r="EH23" s="405"/>
      <c r="EI23" s="405"/>
      <c r="EJ23" s="405"/>
      <c r="EK23" s="405"/>
      <c r="EL23" s="405"/>
      <c r="EM23" s="405"/>
      <c r="EN23" s="405"/>
    </row>
    <row r="24" spans="1:144" ht="15" customHeight="1" outlineLevel="1">
      <c r="B24" s="440" t="str">
        <f>VLOOKUP("Input_0_Product_Header",Hidden_Translations!$B$11:$J$1184,Hidden_Translations!$C$8,FALSE)</f>
        <v>Indiviudalized product (optional)</v>
      </c>
      <c r="C24" s="440"/>
      <c r="D24" s="440"/>
      <c r="E24" s="440"/>
      <c r="F24" s="440"/>
      <c r="G24" s="440"/>
      <c r="H24" s="440"/>
      <c r="K24" s="441"/>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5"/>
      <c r="BI24" s="405"/>
      <c r="BJ24" s="405"/>
      <c r="BK24" s="405"/>
      <c r="BL24" s="405"/>
      <c r="BM24" s="405"/>
      <c r="BN24" s="405"/>
      <c r="BO24" s="405"/>
      <c r="BP24" s="405"/>
      <c r="BQ24" s="405"/>
      <c r="BR24" s="405"/>
      <c r="BS24" s="405"/>
      <c r="BT24" s="405"/>
      <c r="BU24" s="405"/>
      <c r="BV24" s="405"/>
      <c r="BW24" s="405"/>
      <c r="BX24" s="405"/>
      <c r="BY24" s="405"/>
      <c r="BZ24" s="405"/>
      <c r="CA24" s="405"/>
      <c r="CB24" s="405"/>
      <c r="CC24" s="405"/>
      <c r="CD24" s="405"/>
      <c r="CE24" s="405"/>
      <c r="CF24" s="405"/>
      <c r="CG24" s="405"/>
      <c r="CH24" s="405"/>
      <c r="CI24" s="405"/>
      <c r="CJ24" s="405"/>
      <c r="CK24" s="405"/>
      <c r="CL24" s="405"/>
      <c r="CM24" s="405"/>
      <c r="CN24" s="405"/>
      <c r="CO24" s="405"/>
      <c r="CP24" s="405"/>
      <c r="CQ24" s="405"/>
      <c r="CR24" s="405"/>
      <c r="CS24" s="405"/>
      <c r="CT24" s="405"/>
      <c r="CU24" s="405"/>
      <c r="CV24" s="405"/>
      <c r="CW24" s="405"/>
      <c r="CX24" s="405"/>
      <c r="CY24" s="405"/>
      <c r="CZ24" s="405"/>
      <c r="DA24" s="405"/>
      <c r="DB24" s="405"/>
      <c r="DC24" s="405"/>
      <c r="DD24" s="405"/>
      <c r="DE24" s="405"/>
      <c r="DF24" s="405"/>
      <c r="DG24" s="405"/>
      <c r="DH24" s="405"/>
      <c r="DI24" s="405"/>
      <c r="DJ24" s="405"/>
      <c r="DK24" s="405"/>
      <c r="DL24" s="405"/>
      <c r="DM24" s="405"/>
      <c r="DN24" s="405"/>
      <c r="DO24" s="405"/>
      <c r="DP24" s="405"/>
      <c r="DQ24" s="405"/>
      <c r="DR24" s="405"/>
      <c r="DS24" s="405"/>
      <c r="DT24" s="405"/>
      <c r="DU24" s="405"/>
      <c r="DV24" s="405"/>
      <c r="DW24" s="405"/>
      <c r="DX24" s="405"/>
      <c r="DY24" s="405"/>
      <c r="DZ24" s="405"/>
      <c r="EA24" s="405"/>
      <c r="EB24" s="405"/>
      <c r="EC24" s="405"/>
      <c r="ED24" s="405"/>
      <c r="EE24" s="405"/>
      <c r="EF24" s="405"/>
      <c r="EG24" s="405"/>
      <c r="EH24" s="405"/>
      <c r="EI24" s="405"/>
      <c r="EJ24" s="405"/>
      <c r="EK24" s="405"/>
      <c r="EL24" s="405"/>
      <c r="EM24" s="405"/>
      <c r="EN24" s="405"/>
    </row>
    <row r="25" spans="1:144" ht="15" customHeight="1" outlineLevel="1">
      <c r="H25" s="403"/>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5"/>
      <c r="CD25" s="405"/>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5"/>
      <c r="EK25" s="405"/>
      <c r="EL25" s="405"/>
      <c r="EM25" s="405"/>
      <c r="EN25" s="405"/>
    </row>
    <row r="26" spans="1:144" ht="45" customHeight="1" outlineLevel="1">
      <c r="B26" s="491" t="str">
        <f>VLOOKUP("Input_0_Product_Header_Text",Hidden_Translations!$B$11:$J$1184,Hidden_Translations!$C$8,FALSE)</f>
        <v xml:space="preserve">In the analysis, you may analyse up to two products. The underlying database offers a range of pre-defined products along with default data from the Ecoinvent database. In addition to using these defaults, you may also analyze an individual product. If you want to do so, please fill in this section or otherwise skip to the next one. The entry here will automatically appear in the selection of products in the next step. </v>
      </c>
      <c r="C26" s="491"/>
      <c r="D26" s="491"/>
      <c r="E26" s="491"/>
      <c r="F26" s="491"/>
      <c r="G26" s="491"/>
      <c r="H26" s="491"/>
      <c r="U26" s="405"/>
      <c r="V26" s="405"/>
      <c r="W26" s="405"/>
      <c r="X26" s="405"/>
      <c r="Y26" s="405"/>
      <c r="Z26" s="405"/>
      <c r="AA26" s="405"/>
      <c r="AB26" s="405"/>
      <c r="AC26" s="405"/>
      <c r="AD26" s="405"/>
      <c r="AE26" s="405"/>
      <c r="AF26" s="405"/>
      <c r="AG26" s="405"/>
      <c r="AH26" s="405"/>
      <c r="AI26" s="405"/>
      <c r="AJ26" s="405"/>
      <c r="AK26" s="405"/>
      <c r="AL26" s="405"/>
      <c r="AM26" s="405"/>
      <c r="AN26" s="405"/>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05"/>
      <c r="BS26" s="405"/>
      <c r="BT26" s="405"/>
      <c r="BU26" s="405"/>
      <c r="BV26" s="405"/>
      <c r="BW26" s="405"/>
      <c r="BX26" s="405"/>
      <c r="BY26" s="405"/>
      <c r="BZ26" s="405"/>
      <c r="CA26" s="405"/>
      <c r="CB26" s="405"/>
      <c r="CC26" s="405"/>
      <c r="CD26" s="405"/>
      <c r="CE26" s="405"/>
      <c r="CF26" s="405"/>
      <c r="CG26" s="405"/>
      <c r="CH26" s="405"/>
      <c r="CI26" s="405"/>
      <c r="CJ26" s="405"/>
      <c r="CK26" s="405"/>
      <c r="CL26" s="405"/>
      <c r="CM26" s="405"/>
      <c r="CN26" s="405"/>
      <c r="CO26" s="405"/>
      <c r="CP26" s="405"/>
      <c r="CQ26" s="405"/>
      <c r="CR26" s="405"/>
      <c r="CS26" s="405"/>
      <c r="CT26" s="405"/>
      <c r="CU26" s="405"/>
      <c r="CV26" s="405"/>
      <c r="CW26" s="405"/>
      <c r="CX26" s="405"/>
      <c r="CY26" s="405"/>
      <c r="CZ26" s="405"/>
      <c r="DA26" s="405"/>
      <c r="DB26" s="405"/>
      <c r="DC26" s="405"/>
      <c r="DD26" s="405"/>
      <c r="DE26" s="405"/>
      <c r="DF26" s="405"/>
      <c r="DG26" s="405"/>
      <c r="DH26" s="405"/>
      <c r="DI26" s="405"/>
      <c r="DJ26" s="405"/>
      <c r="DK26" s="405"/>
      <c r="DL26" s="405"/>
      <c r="DM26" s="405"/>
      <c r="DN26" s="405"/>
      <c r="DO26" s="405"/>
      <c r="DP26" s="405"/>
      <c r="DQ26" s="405"/>
      <c r="DR26" s="405"/>
      <c r="DS26" s="405"/>
      <c r="DT26" s="405"/>
      <c r="DU26" s="405"/>
      <c r="DV26" s="405"/>
      <c r="DW26" s="405"/>
      <c r="DX26" s="405"/>
      <c r="DY26" s="405"/>
      <c r="DZ26" s="405"/>
      <c r="EA26" s="405"/>
      <c r="EB26" s="405"/>
      <c r="EC26" s="405"/>
      <c r="ED26" s="405"/>
      <c r="EE26" s="405"/>
      <c r="EF26" s="405"/>
      <c r="EG26" s="405"/>
      <c r="EH26" s="405"/>
      <c r="EI26" s="405"/>
      <c r="EJ26" s="405"/>
      <c r="EK26" s="405"/>
      <c r="EL26" s="405"/>
      <c r="EM26" s="405"/>
      <c r="EN26" s="405"/>
    </row>
    <row r="27" spans="1:144" ht="15" customHeight="1" outlineLevel="1">
      <c r="H27" s="403"/>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05"/>
      <c r="CF27" s="405"/>
      <c r="CG27" s="405"/>
      <c r="CH27" s="405"/>
      <c r="CI27" s="405"/>
      <c r="CJ27" s="405"/>
      <c r="CK27" s="405"/>
      <c r="CL27" s="405"/>
      <c r="CM27" s="405"/>
      <c r="CN27" s="405"/>
      <c r="CO27" s="405"/>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05"/>
      <c r="EN27" s="405"/>
    </row>
    <row r="28" spans="1:144" ht="15" customHeight="1" outlineLevel="1">
      <c r="B28" s="420" t="str">
        <f>VLOOKUP("Input_0_Product_Name",Hidden_Translations!$B$11:$J$1184,Hidden_Translations!$C$8,FALSE)</f>
        <v>Product name</v>
      </c>
      <c r="C28" s="411"/>
      <c r="D28" s="411"/>
      <c r="E28" s="411"/>
      <c r="F28" s="260"/>
      <c r="G28" s="420" t="str">
        <f>VLOOKUP("Units_Text",Hidden_Translations!$B$11:$J$1184,Hidden_Translations!$C$8,FALSE)</f>
        <v>[Text]</v>
      </c>
      <c r="H28" s="411"/>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c r="BW28" s="405"/>
      <c r="BX28" s="405"/>
      <c r="BY28" s="405"/>
      <c r="BZ28" s="405"/>
      <c r="CA28" s="405"/>
      <c r="CB28" s="405"/>
      <c r="CC28" s="405"/>
      <c r="CD28" s="405"/>
      <c r="CE28" s="405"/>
      <c r="CF28" s="405"/>
      <c r="CG28" s="405"/>
      <c r="CH28" s="405"/>
      <c r="CI28" s="405"/>
      <c r="CJ28" s="405"/>
      <c r="CK28" s="405"/>
      <c r="CL28" s="405"/>
      <c r="CM28" s="405"/>
      <c r="CN28" s="405"/>
      <c r="CO28" s="405"/>
      <c r="CP28" s="405"/>
      <c r="CQ28" s="405"/>
      <c r="CR28" s="405"/>
      <c r="CS28" s="405"/>
      <c r="CT28" s="405"/>
      <c r="CU28" s="405"/>
      <c r="CV28" s="405"/>
      <c r="CW28" s="405"/>
      <c r="CX28" s="405"/>
      <c r="CY28" s="405"/>
      <c r="CZ28" s="405"/>
      <c r="DA28" s="405"/>
      <c r="DB28" s="405"/>
      <c r="DC28" s="405"/>
      <c r="DD28" s="405"/>
      <c r="DE28" s="405"/>
      <c r="DF28" s="405"/>
      <c r="DG28" s="405"/>
      <c r="DH28" s="405"/>
      <c r="DI28" s="405"/>
      <c r="DJ28" s="405"/>
      <c r="DK28" s="405"/>
      <c r="DL28" s="405"/>
      <c r="DM28" s="405"/>
      <c r="DN28" s="405"/>
      <c r="DO28" s="405"/>
      <c r="DP28" s="405"/>
      <c r="DQ28" s="405"/>
      <c r="DR28" s="405"/>
      <c r="DS28" s="405"/>
      <c r="DT28" s="405"/>
      <c r="DU28" s="405"/>
      <c r="DV28" s="405"/>
      <c r="DW28" s="405"/>
      <c r="DX28" s="405"/>
      <c r="DY28" s="405"/>
      <c r="DZ28" s="405"/>
      <c r="EA28" s="405"/>
      <c r="EB28" s="405"/>
      <c r="EC28" s="405"/>
      <c r="ED28" s="405"/>
      <c r="EE28" s="405"/>
      <c r="EF28" s="405"/>
      <c r="EG28" s="405"/>
      <c r="EH28" s="405"/>
      <c r="EI28" s="405"/>
      <c r="EJ28" s="405"/>
      <c r="EK28" s="405"/>
      <c r="EL28" s="405"/>
      <c r="EM28" s="405"/>
      <c r="EN28" s="405"/>
    </row>
    <row r="29" spans="1:144" ht="15" customHeight="1" outlineLevel="1">
      <c r="B29" s="405"/>
      <c r="H29" s="403"/>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c r="BY29" s="405"/>
      <c r="BZ29" s="405"/>
      <c r="CA29" s="405"/>
      <c r="CB29" s="405"/>
      <c r="CC29" s="405"/>
      <c r="CD29" s="405"/>
      <c r="CE29" s="405"/>
      <c r="CF29" s="405"/>
      <c r="CG29" s="405"/>
      <c r="CH29" s="405"/>
      <c r="CI29" s="405"/>
      <c r="CJ29" s="405"/>
      <c r="CK29" s="405"/>
      <c r="CL29" s="405"/>
      <c r="CM29" s="405"/>
      <c r="CN29" s="405"/>
      <c r="CO29" s="405"/>
      <c r="CP29" s="405"/>
      <c r="CQ29" s="405"/>
      <c r="CR29" s="405"/>
      <c r="CS29" s="405"/>
      <c r="CT29" s="405"/>
      <c r="CU29" s="405"/>
      <c r="CV29" s="405"/>
      <c r="CW29" s="405"/>
      <c r="CX29" s="405"/>
      <c r="CY29" s="405"/>
      <c r="CZ29" s="405"/>
      <c r="DA29" s="405"/>
      <c r="DB29" s="405"/>
      <c r="DC29" s="405"/>
      <c r="DD29" s="405"/>
      <c r="DE29" s="405"/>
      <c r="DF29" s="405"/>
      <c r="DG29" s="405"/>
      <c r="DH29" s="405"/>
      <c r="DI29" s="405"/>
      <c r="DJ29" s="405"/>
      <c r="DK29" s="405"/>
      <c r="DL29" s="405"/>
      <c r="DM29" s="405"/>
      <c r="DN29" s="405"/>
      <c r="DO29" s="405"/>
      <c r="DP29" s="405"/>
      <c r="DQ29" s="405"/>
      <c r="DR29" s="405"/>
      <c r="DS29" s="405"/>
      <c r="DT29" s="405"/>
      <c r="DU29" s="405"/>
      <c r="DV29" s="405"/>
      <c r="DW29" s="405"/>
      <c r="DX29" s="405"/>
      <c r="DY29" s="405"/>
      <c r="DZ29" s="405"/>
      <c r="EA29" s="405"/>
      <c r="EB29" s="405"/>
      <c r="EC29" s="405"/>
      <c r="ED29" s="405"/>
      <c r="EE29" s="405"/>
      <c r="EF29" s="405"/>
      <c r="EG29" s="405"/>
      <c r="EH29" s="405"/>
      <c r="EI29" s="405"/>
      <c r="EJ29" s="405"/>
      <c r="EK29" s="405"/>
      <c r="EL29" s="405"/>
      <c r="EM29" s="405"/>
      <c r="EN29" s="405"/>
    </row>
    <row r="30" spans="1:144" outlineLevel="1">
      <c r="B30" s="442" t="str">
        <f>VLOOKUP("Input_0_Product_Impact_Text",Hidden_Translations!$B$11:$J$1184,Hidden_Translations!$C$8,FALSE)</f>
        <v>Please specify the impact categorie's values per kg of delivered product at the retailer for custom product (incl. raw material transport and distribution)</v>
      </c>
      <c r="H30" s="403"/>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c r="BY30" s="405"/>
      <c r="BZ30" s="405"/>
      <c r="CA30" s="405"/>
      <c r="CB30" s="405"/>
      <c r="CC30" s="405"/>
      <c r="CD30" s="405"/>
      <c r="CE30" s="405"/>
      <c r="CF30" s="405"/>
      <c r="CG30" s="405"/>
      <c r="CH30" s="405"/>
      <c r="CI30" s="405"/>
      <c r="CJ30" s="405"/>
      <c r="CK30" s="405"/>
      <c r="CL30" s="405"/>
      <c r="CM30" s="405"/>
      <c r="CN30" s="405"/>
      <c r="CO30" s="405"/>
      <c r="CP30" s="405"/>
      <c r="CQ30" s="405"/>
      <c r="CR30" s="405"/>
      <c r="CS30" s="405"/>
      <c r="CT30" s="405"/>
      <c r="CU30" s="405"/>
      <c r="CV30" s="405"/>
      <c r="CW30" s="405"/>
      <c r="CX30" s="405"/>
      <c r="CY30" s="405"/>
      <c r="CZ30" s="405"/>
      <c r="DA30" s="405"/>
      <c r="DB30" s="405"/>
      <c r="DC30" s="405"/>
      <c r="DD30" s="405"/>
      <c r="DE30" s="405"/>
      <c r="DF30" s="405"/>
      <c r="DG30" s="405"/>
      <c r="DH30" s="405"/>
      <c r="DI30" s="405"/>
      <c r="DJ30" s="405"/>
      <c r="DK30" s="405"/>
      <c r="DL30" s="405"/>
      <c r="DM30" s="405"/>
      <c r="DN30" s="405"/>
      <c r="DO30" s="405"/>
      <c r="DP30" s="405"/>
      <c r="DQ30" s="405"/>
      <c r="DR30" s="405"/>
      <c r="DS30" s="405"/>
      <c r="DT30" s="405"/>
      <c r="DU30" s="405"/>
      <c r="DV30" s="405"/>
      <c r="DW30" s="405"/>
      <c r="DX30" s="405"/>
      <c r="DY30" s="405"/>
      <c r="DZ30" s="405"/>
      <c r="EA30" s="405"/>
      <c r="EB30" s="405"/>
      <c r="EC30" s="405"/>
      <c r="ED30" s="405"/>
      <c r="EE30" s="405"/>
      <c r="EF30" s="405"/>
      <c r="EG30" s="405"/>
      <c r="EH30" s="405"/>
      <c r="EI30" s="405"/>
      <c r="EJ30" s="405"/>
      <c r="EK30" s="405"/>
      <c r="EL30" s="405"/>
      <c r="EM30" s="405"/>
      <c r="EN30" s="405"/>
    </row>
    <row r="31" spans="1:144" ht="15" customHeight="1" outlineLevel="1">
      <c r="B31" s="443"/>
      <c r="H31" s="403"/>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05"/>
      <c r="CI31" s="405"/>
      <c r="CJ31" s="405"/>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5"/>
      <c r="DI31" s="405"/>
      <c r="DJ31" s="405"/>
      <c r="DK31" s="405"/>
      <c r="DL31" s="405"/>
      <c r="DM31" s="405"/>
      <c r="DN31" s="405"/>
      <c r="DO31" s="405"/>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5"/>
      <c r="EM31" s="405"/>
      <c r="EN31" s="405"/>
    </row>
    <row r="32" spans="1:144" ht="15" customHeight="1" outlineLevel="1">
      <c r="B32" s="420" t="str">
        <f>VLOOKUP("Input_0_Product_GWP",Hidden_Translations!$B$11:$J$1184,Hidden_Translations!$C$8,FALSE)</f>
        <v xml:space="preserve">Global warming potential </v>
      </c>
      <c r="C32" s="411"/>
      <c r="D32" s="411"/>
      <c r="E32" s="411"/>
      <c r="F32" s="361">
        <v>0</v>
      </c>
      <c r="G32" s="420" t="str">
        <f>VLOOKUP("Units_kg_CO2_eq",Hidden_Translations!$B$11:$J$1184,Hidden_Translations!$C$8,FALSE)</f>
        <v>[kg CO2 eq.]</v>
      </c>
      <c r="H32" s="411"/>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405"/>
      <c r="CN32" s="405"/>
      <c r="CO32" s="405"/>
      <c r="CP32" s="405"/>
      <c r="CQ32" s="405"/>
      <c r="CR32" s="405"/>
      <c r="CS32" s="405"/>
      <c r="CT32" s="405"/>
      <c r="CU32" s="405"/>
      <c r="CV32" s="405"/>
      <c r="CW32" s="405"/>
      <c r="CX32" s="405"/>
      <c r="CY32" s="405"/>
      <c r="CZ32" s="405"/>
      <c r="DA32" s="405"/>
      <c r="DB32" s="405"/>
      <c r="DC32" s="405"/>
      <c r="DD32" s="405"/>
      <c r="DE32" s="405"/>
      <c r="DF32" s="405"/>
      <c r="DG32" s="405"/>
      <c r="DH32" s="405"/>
      <c r="DI32" s="405"/>
      <c r="DJ32" s="405"/>
      <c r="DK32" s="405"/>
      <c r="DL32" s="405"/>
      <c r="DM32" s="405"/>
      <c r="DN32" s="405"/>
      <c r="DO32" s="405"/>
      <c r="DP32" s="405"/>
      <c r="DQ32" s="405"/>
      <c r="DR32" s="405"/>
      <c r="DS32" s="405"/>
      <c r="DT32" s="405"/>
      <c r="DU32" s="405"/>
      <c r="DV32" s="405"/>
      <c r="DW32" s="405"/>
      <c r="DX32" s="405"/>
      <c r="DY32" s="405"/>
      <c r="DZ32" s="405"/>
      <c r="EA32" s="405"/>
      <c r="EB32" s="405"/>
      <c r="EC32" s="405"/>
      <c r="ED32" s="405"/>
      <c r="EE32" s="405"/>
      <c r="EF32" s="405"/>
      <c r="EG32" s="405"/>
      <c r="EH32" s="405"/>
      <c r="EI32" s="405"/>
      <c r="EJ32" s="405"/>
      <c r="EK32" s="405"/>
      <c r="EL32" s="405"/>
      <c r="EM32" s="405"/>
      <c r="EN32" s="405"/>
    </row>
    <row r="33" spans="2:144" ht="15" customHeight="1" outlineLevel="1">
      <c r="B33" s="420" t="str">
        <f>VLOOKUP("Input_0_Product_CED",Hidden_Translations!$B$11:$J$1184,Hidden_Translations!$C$8,FALSE)</f>
        <v>Cumulative energy demand</v>
      </c>
      <c r="C33" s="411"/>
      <c r="D33" s="411"/>
      <c r="E33" s="411"/>
      <c r="F33" s="361">
        <v>0</v>
      </c>
      <c r="G33" s="420" t="str">
        <f>VLOOKUP("Units_MJ",Hidden_Translations!$B$11:$J$1184,Hidden_Translations!$C$8,FALSE)</f>
        <v>[MJ]</v>
      </c>
      <c r="H33" s="411"/>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5"/>
      <c r="BZ33" s="405"/>
      <c r="CA33" s="405"/>
      <c r="CB33" s="405"/>
      <c r="CC33" s="405"/>
      <c r="CD33" s="405"/>
      <c r="CE33" s="405"/>
      <c r="CF33" s="405"/>
      <c r="CG33" s="405"/>
      <c r="CH33" s="405"/>
      <c r="CI33" s="405"/>
      <c r="CJ33" s="405"/>
      <c r="CK33" s="405"/>
      <c r="CL33" s="405"/>
      <c r="CM33" s="405"/>
      <c r="CN33" s="405"/>
      <c r="CO33" s="405"/>
      <c r="CP33" s="405"/>
      <c r="CQ33" s="405"/>
      <c r="CR33" s="405"/>
      <c r="CS33" s="405"/>
      <c r="CT33" s="405"/>
      <c r="CU33" s="405"/>
      <c r="CV33" s="405"/>
      <c r="CW33" s="405"/>
      <c r="CX33" s="405"/>
      <c r="CY33" s="405"/>
      <c r="CZ33" s="405"/>
      <c r="DA33" s="405"/>
      <c r="DB33" s="405"/>
      <c r="DC33" s="405"/>
      <c r="DD33" s="405"/>
      <c r="DE33" s="405"/>
      <c r="DF33" s="405"/>
      <c r="DG33" s="405"/>
      <c r="DH33" s="405"/>
      <c r="DI33" s="405"/>
      <c r="DJ33" s="405"/>
      <c r="DK33" s="405"/>
      <c r="DL33" s="405"/>
      <c r="DM33" s="405"/>
      <c r="DN33" s="405"/>
      <c r="DO33" s="405"/>
      <c r="DP33" s="405"/>
      <c r="DQ33" s="405"/>
      <c r="DR33" s="405"/>
      <c r="DS33" s="405"/>
      <c r="DT33" s="405"/>
      <c r="DU33" s="405"/>
      <c r="DV33" s="405"/>
      <c r="DW33" s="405"/>
      <c r="DX33" s="405"/>
      <c r="DY33" s="405"/>
      <c r="DZ33" s="405"/>
      <c r="EA33" s="405"/>
      <c r="EB33" s="405"/>
      <c r="EC33" s="405"/>
      <c r="ED33" s="405"/>
      <c r="EE33" s="405"/>
      <c r="EF33" s="405"/>
      <c r="EG33" s="405"/>
      <c r="EH33" s="405"/>
      <c r="EI33" s="405"/>
      <c r="EJ33" s="405"/>
      <c r="EK33" s="405"/>
      <c r="EL33" s="405"/>
      <c r="EM33" s="405"/>
      <c r="EN33" s="405"/>
    </row>
    <row r="34" spans="2:144" ht="15" customHeight="1" outlineLevel="1">
      <c r="B34" s="420" t="str">
        <f>VLOOKUP("Input_0_Product_AWARE",Hidden_Translations!$B$11:$J$1184,Hidden_Translations!$C$8,FALSE)</f>
        <v>Water demand</v>
      </c>
      <c r="C34" s="411"/>
      <c r="D34" s="411"/>
      <c r="E34" s="411"/>
      <c r="F34" s="361">
        <v>0</v>
      </c>
      <c r="G34" s="420" t="str">
        <f>VLOOKUP("Units_m3_eq.",Hidden_Translations!$B$11:$J$1184,Hidden_Translations!$C$8,FALSE)</f>
        <v>[m³ eq.]</v>
      </c>
      <c r="H34" s="411"/>
      <c r="K34" s="441"/>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405"/>
      <c r="CN34" s="405"/>
      <c r="CO34" s="405"/>
      <c r="CP34" s="405"/>
      <c r="CQ34" s="405"/>
      <c r="CR34" s="405"/>
      <c r="CS34" s="405"/>
      <c r="CT34" s="405"/>
      <c r="CU34" s="405"/>
      <c r="CV34" s="405"/>
      <c r="CW34" s="405"/>
      <c r="CX34" s="405"/>
      <c r="CY34" s="405"/>
      <c r="CZ34" s="405"/>
      <c r="DA34" s="405"/>
      <c r="DB34" s="405"/>
      <c r="DC34" s="405"/>
      <c r="DD34" s="405"/>
      <c r="DE34" s="405"/>
      <c r="DF34" s="405"/>
      <c r="DG34" s="405"/>
      <c r="DH34" s="405"/>
      <c r="DI34" s="405"/>
      <c r="DJ34" s="405"/>
      <c r="DK34" s="405"/>
      <c r="DL34" s="405"/>
      <c r="DM34" s="405"/>
      <c r="DN34" s="405"/>
      <c r="DO34" s="405"/>
      <c r="DP34" s="405"/>
      <c r="DQ34" s="405"/>
      <c r="DR34" s="405"/>
      <c r="DS34" s="405"/>
      <c r="DT34" s="405"/>
      <c r="DU34" s="405"/>
      <c r="DV34" s="405"/>
      <c r="DW34" s="405"/>
      <c r="DX34" s="405"/>
      <c r="DY34" s="405"/>
      <c r="DZ34" s="405"/>
      <c r="EA34" s="405"/>
      <c r="EB34" s="405"/>
      <c r="EC34" s="405"/>
      <c r="ED34" s="405"/>
      <c r="EE34" s="405"/>
      <c r="EF34" s="405"/>
      <c r="EG34" s="405"/>
      <c r="EH34" s="405"/>
      <c r="EI34" s="405"/>
      <c r="EJ34" s="405"/>
      <c r="EK34" s="405"/>
      <c r="EL34" s="405"/>
      <c r="EM34" s="405"/>
      <c r="EN34" s="405"/>
    </row>
    <row r="35" spans="2:144" ht="15" customHeight="1" outlineLevel="1">
      <c r="B35" s="439"/>
      <c r="H35" s="403"/>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c r="BY35" s="405"/>
      <c r="BZ35" s="405"/>
      <c r="CA35" s="405"/>
      <c r="CB35" s="405"/>
      <c r="CC35" s="405"/>
      <c r="CD35" s="405"/>
      <c r="CE35" s="405"/>
      <c r="CF35" s="405"/>
      <c r="CG35" s="405"/>
      <c r="CH35" s="405"/>
      <c r="CI35" s="405"/>
      <c r="CJ35" s="405"/>
      <c r="CK35" s="405"/>
      <c r="CL35" s="405"/>
      <c r="CM35" s="405"/>
      <c r="CN35" s="405"/>
      <c r="CO35" s="405"/>
      <c r="CP35" s="405"/>
      <c r="CQ35" s="405"/>
      <c r="CR35" s="405"/>
      <c r="CS35" s="405"/>
      <c r="CT35" s="405"/>
      <c r="CU35" s="405"/>
      <c r="CV35" s="405"/>
      <c r="CW35" s="405"/>
      <c r="CX35" s="405"/>
      <c r="CY35" s="405"/>
      <c r="CZ35" s="405"/>
      <c r="DA35" s="405"/>
      <c r="DB35" s="405"/>
      <c r="DC35" s="405"/>
      <c r="DD35" s="405"/>
      <c r="DE35" s="405"/>
      <c r="DF35" s="405"/>
      <c r="DG35" s="405"/>
      <c r="DH35" s="405"/>
      <c r="DI35" s="405"/>
      <c r="DJ35" s="405"/>
      <c r="DK35" s="405"/>
      <c r="DL35" s="405"/>
      <c r="DM35" s="405"/>
      <c r="DN35" s="405"/>
      <c r="DO35" s="405"/>
      <c r="DP35" s="405"/>
      <c r="DQ35" s="405"/>
      <c r="DR35" s="405"/>
      <c r="DS35" s="405"/>
      <c r="DT35" s="405"/>
      <c r="DU35" s="405"/>
      <c r="DV35" s="405"/>
      <c r="DW35" s="405"/>
      <c r="DX35" s="405"/>
      <c r="DY35" s="405"/>
      <c r="DZ35" s="405"/>
      <c r="EA35" s="405"/>
      <c r="EB35" s="405"/>
      <c r="EC35" s="405"/>
      <c r="ED35" s="405"/>
      <c r="EE35" s="405"/>
      <c r="EF35" s="405"/>
      <c r="EG35" s="405"/>
      <c r="EH35" s="405"/>
      <c r="EI35" s="405"/>
      <c r="EJ35" s="405"/>
      <c r="EK35" s="405"/>
      <c r="EL35" s="405"/>
      <c r="EM35" s="405"/>
      <c r="EN35" s="405"/>
    </row>
    <row r="36" spans="2:144" ht="15" customHeight="1" outlineLevel="1">
      <c r="B36" s="444" t="str">
        <f>VLOOKUP("Input_0_Product_Temperature_Text",Hidden_Translations!$B$11:$J$1184,Hidden_Translations!$C$8,FALSE)</f>
        <v>Please specify the transportation and storage values for your custom product</v>
      </c>
      <c r="H36" s="403"/>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c r="BY36" s="405"/>
      <c r="BZ36" s="405"/>
      <c r="CA36" s="405"/>
      <c r="CB36" s="405"/>
      <c r="CC36" s="405"/>
      <c r="CD36" s="405"/>
      <c r="CE36" s="405"/>
      <c r="CF36" s="405"/>
      <c r="CG36" s="405"/>
      <c r="CH36" s="405"/>
      <c r="CI36" s="405"/>
      <c r="CJ36" s="405"/>
      <c r="CK36" s="405"/>
      <c r="CL36" s="405"/>
      <c r="CM36" s="405"/>
      <c r="CN36" s="405"/>
      <c r="CO36" s="405"/>
      <c r="CP36" s="405"/>
      <c r="CQ36" s="405"/>
      <c r="CR36" s="405"/>
      <c r="CS36" s="405"/>
      <c r="CT36" s="405"/>
      <c r="CU36" s="405"/>
      <c r="CV36" s="405"/>
      <c r="CW36" s="405"/>
      <c r="CX36" s="405"/>
      <c r="CY36" s="405"/>
      <c r="CZ36" s="405"/>
      <c r="DA36" s="405"/>
      <c r="DB36" s="405"/>
      <c r="DC36" s="405"/>
      <c r="DD36" s="405"/>
      <c r="DE36" s="405"/>
      <c r="DF36" s="405"/>
      <c r="DG36" s="405"/>
      <c r="DH36" s="405"/>
      <c r="DI36" s="405"/>
      <c r="DJ36" s="405"/>
      <c r="DK36" s="405"/>
      <c r="DL36" s="405"/>
      <c r="DM36" s="405"/>
      <c r="DN36" s="405"/>
      <c r="DO36" s="405"/>
      <c r="DP36" s="405"/>
      <c r="DQ36" s="405"/>
      <c r="DR36" s="405"/>
      <c r="DS36" s="405"/>
      <c r="DT36" s="405"/>
      <c r="DU36" s="405"/>
      <c r="DV36" s="405"/>
      <c r="DW36" s="405"/>
      <c r="DX36" s="405"/>
      <c r="DY36" s="405"/>
      <c r="DZ36" s="405"/>
      <c r="EA36" s="405"/>
      <c r="EB36" s="405"/>
      <c r="EC36" s="405"/>
      <c r="ED36" s="405"/>
      <c r="EE36" s="405"/>
      <c r="EF36" s="405"/>
      <c r="EG36" s="405"/>
      <c r="EH36" s="405"/>
      <c r="EI36" s="405"/>
      <c r="EJ36" s="405"/>
      <c r="EK36" s="405"/>
      <c r="EL36" s="405"/>
      <c r="EM36" s="405"/>
      <c r="EN36" s="405"/>
    </row>
    <row r="37" spans="2:144" ht="15" customHeight="1" outlineLevel="1">
      <c r="B37" s="444"/>
      <c r="H37" s="403"/>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5"/>
      <c r="BR37" s="405"/>
      <c r="BS37" s="405"/>
      <c r="BT37" s="405"/>
      <c r="BU37" s="405"/>
      <c r="BV37" s="405"/>
      <c r="BW37" s="405"/>
      <c r="BX37" s="405"/>
      <c r="BY37" s="405"/>
      <c r="BZ37" s="405"/>
      <c r="CA37" s="405"/>
      <c r="CB37" s="405"/>
      <c r="CC37" s="405"/>
      <c r="CD37" s="405"/>
      <c r="CE37" s="405"/>
      <c r="CF37" s="405"/>
      <c r="CG37" s="405"/>
      <c r="CH37" s="405"/>
      <c r="CI37" s="405"/>
      <c r="CJ37" s="405"/>
      <c r="CK37" s="405"/>
      <c r="CL37" s="405"/>
      <c r="CM37" s="405"/>
      <c r="CN37" s="405"/>
      <c r="CO37" s="405"/>
      <c r="CP37" s="405"/>
      <c r="CQ37" s="405"/>
      <c r="CR37" s="405"/>
      <c r="CS37" s="405"/>
      <c r="CT37" s="405"/>
      <c r="CU37" s="405"/>
      <c r="CV37" s="405"/>
      <c r="CW37" s="405"/>
      <c r="CX37" s="405"/>
      <c r="CY37" s="405"/>
      <c r="CZ37" s="405"/>
      <c r="DA37" s="405"/>
      <c r="DB37" s="405"/>
      <c r="DC37" s="405"/>
      <c r="DD37" s="405"/>
      <c r="DE37" s="405"/>
      <c r="DF37" s="405"/>
      <c r="DG37" s="405"/>
      <c r="DH37" s="405"/>
      <c r="DI37" s="405"/>
      <c r="DJ37" s="405"/>
      <c r="DK37" s="405"/>
      <c r="DL37" s="405"/>
      <c r="DM37" s="405"/>
      <c r="DN37" s="405"/>
      <c r="DO37" s="405"/>
      <c r="DP37" s="405"/>
      <c r="DQ37" s="405"/>
      <c r="DR37" s="405"/>
      <c r="DS37" s="405"/>
      <c r="DT37" s="405"/>
      <c r="DU37" s="405"/>
      <c r="DV37" s="405"/>
      <c r="DW37" s="405"/>
      <c r="DX37" s="405"/>
      <c r="DY37" s="405"/>
      <c r="DZ37" s="405"/>
      <c r="EA37" s="405"/>
      <c r="EB37" s="405"/>
      <c r="EC37" s="405"/>
      <c r="ED37" s="405"/>
      <c r="EE37" s="405"/>
      <c r="EF37" s="405"/>
      <c r="EG37" s="405"/>
      <c r="EH37" s="405"/>
      <c r="EI37" s="405"/>
      <c r="EJ37" s="405"/>
      <c r="EK37" s="405"/>
      <c r="EL37" s="405"/>
      <c r="EM37" s="405"/>
      <c r="EN37" s="405"/>
    </row>
    <row r="38" spans="2:144" ht="15" customHeight="1" outlineLevel="1">
      <c r="B38" s="420" t="str">
        <f>VLOOKUP("Input_0_Product_Temperature_Transport",Hidden_Translations!$B$11:$J$1184,Hidden_Translations!$C$8,FALSE)</f>
        <v>Transport temperature (-20 to +20 ⁰C)</v>
      </c>
      <c r="C38" s="411"/>
      <c r="D38" s="411"/>
      <c r="E38" s="411"/>
      <c r="F38" s="361">
        <v>0</v>
      </c>
      <c r="G38" s="420" t="str">
        <f>VLOOKUP("Units_Celsius",Hidden_Translations!$B$11:$J$1184,Hidden_Translations!$C$8,FALSE)</f>
        <v>[⁰C]</v>
      </c>
      <c r="H38" s="411"/>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5"/>
      <c r="BZ38" s="405"/>
      <c r="CA38" s="405"/>
      <c r="CB38" s="405"/>
      <c r="CC38" s="405"/>
      <c r="CD38" s="405"/>
      <c r="CE38" s="405"/>
      <c r="CF38" s="405"/>
      <c r="CG38" s="405"/>
      <c r="CH38" s="405"/>
      <c r="CI38" s="405"/>
      <c r="CJ38" s="405"/>
      <c r="CK38" s="405"/>
      <c r="CL38" s="405"/>
      <c r="CM38" s="405"/>
      <c r="CN38" s="405"/>
      <c r="CO38" s="405"/>
      <c r="CP38" s="405"/>
      <c r="CQ38" s="405"/>
      <c r="CR38" s="405"/>
      <c r="CS38" s="405"/>
      <c r="CT38" s="405"/>
      <c r="CU38" s="405"/>
      <c r="CV38" s="405"/>
      <c r="CW38" s="405"/>
      <c r="CX38" s="405"/>
      <c r="CY38" s="405"/>
      <c r="CZ38" s="405"/>
      <c r="DA38" s="405"/>
      <c r="DB38" s="405"/>
      <c r="DC38" s="405"/>
      <c r="DD38" s="405"/>
      <c r="DE38" s="405"/>
      <c r="DF38" s="405"/>
      <c r="DG38" s="405"/>
      <c r="DH38" s="405"/>
      <c r="DI38" s="405"/>
      <c r="DJ38" s="405"/>
      <c r="DK38" s="405"/>
      <c r="DL38" s="405"/>
      <c r="DM38" s="405"/>
      <c r="DN38" s="405"/>
      <c r="DO38" s="405"/>
      <c r="DP38" s="405"/>
      <c r="DQ38" s="405"/>
      <c r="DR38" s="405"/>
      <c r="DS38" s="405"/>
      <c r="DT38" s="405"/>
      <c r="DU38" s="405"/>
      <c r="DV38" s="405"/>
      <c r="DW38" s="405"/>
      <c r="DX38" s="405"/>
      <c r="DY38" s="405"/>
      <c r="DZ38" s="405"/>
      <c r="EA38" s="405"/>
      <c r="EB38" s="405"/>
      <c r="EC38" s="405"/>
      <c r="ED38" s="405"/>
      <c r="EE38" s="405"/>
      <c r="EF38" s="405"/>
      <c r="EG38" s="405"/>
      <c r="EH38" s="405"/>
      <c r="EI38" s="405"/>
      <c r="EJ38" s="405"/>
      <c r="EK38" s="405"/>
      <c r="EL38" s="405"/>
      <c r="EM38" s="405"/>
      <c r="EN38" s="405"/>
    </row>
    <row r="39" spans="2:144" ht="15" customHeight="1" outlineLevel="1">
      <c r="B39" s="420" t="str">
        <f>VLOOKUP("Input_0_Product_Temperature_Storage",Hidden_Translations!$B$11:$J$1184,Hidden_Translations!$C$8,FALSE)</f>
        <v>Storage temperature (-20 to +20 ⁰C)</v>
      </c>
      <c r="C39" s="411"/>
      <c r="D39" s="411"/>
      <c r="E39" s="411"/>
      <c r="F39" s="361">
        <v>0</v>
      </c>
      <c r="G39" s="411" t="str">
        <f>G38</f>
        <v>[⁰C]</v>
      </c>
      <c r="H39" s="411"/>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c r="BY39" s="405"/>
      <c r="BZ39" s="405"/>
      <c r="CA39" s="405"/>
      <c r="CB39" s="405"/>
      <c r="CC39" s="405"/>
      <c r="CD39" s="405"/>
      <c r="CE39" s="405"/>
      <c r="CF39" s="405"/>
      <c r="CG39" s="405"/>
      <c r="CH39" s="405"/>
      <c r="CI39" s="405"/>
      <c r="CJ39" s="405"/>
      <c r="CK39" s="405"/>
      <c r="CL39" s="405"/>
      <c r="CM39" s="405"/>
      <c r="CN39" s="405"/>
      <c r="CO39" s="405"/>
      <c r="CP39" s="405"/>
      <c r="CQ39" s="405"/>
      <c r="CR39" s="405"/>
      <c r="CS39" s="405"/>
      <c r="CT39" s="405"/>
      <c r="CU39" s="405"/>
      <c r="CV39" s="405"/>
      <c r="CW39" s="405"/>
      <c r="CX39" s="405"/>
      <c r="CY39" s="405"/>
      <c r="CZ39" s="405"/>
      <c r="DA39" s="405"/>
      <c r="DB39" s="405"/>
      <c r="DC39" s="405"/>
      <c r="DD39" s="405"/>
      <c r="DE39" s="405"/>
      <c r="DF39" s="405"/>
      <c r="DG39" s="405"/>
      <c r="DH39" s="405"/>
      <c r="DI39" s="405"/>
      <c r="DJ39" s="405"/>
      <c r="DK39" s="405"/>
      <c r="DL39" s="405"/>
      <c r="DM39" s="405"/>
      <c r="DN39" s="405"/>
      <c r="DO39" s="405"/>
      <c r="DP39" s="405"/>
      <c r="DQ39" s="405"/>
      <c r="DR39" s="405"/>
      <c r="DS39" s="405"/>
      <c r="DT39" s="405"/>
      <c r="DU39" s="405"/>
      <c r="DV39" s="405"/>
      <c r="DW39" s="405"/>
      <c r="DX39" s="405"/>
      <c r="DY39" s="405"/>
      <c r="DZ39" s="405"/>
      <c r="EA39" s="405"/>
      <c r="EB39" s="405"/>
      <c r="EC39" s="405"/>
      <c r="ED39" s="405"/>
      <c r="EE39" s="405"/>
      <c r="EF39" s="405"/>
      <c r="EG39" s="405"/>
      <c r="EH39" s="405"/>
      <c r="EI39" s="405"/>
      <c r="EJ39" s="405"/>
      <c r="EK39" s="405"/>
      <c r="EL39" s="405"/>
      <c r="EM39" s="405"/>
      <c r="EN39" s="405"/>
    </row>
    <row r="40" spans="2:144" ht="15" customHeight="1" outlineLevel="1">
      <c r="C40" s="445"/>
      <c r="D40" s="83"/>
      <c r="E40" s="413"/>
      <c r="H40" s="403"/>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5"/>
      <c r="BR40" s="405"/>
      <c r="BS40" s="405"/>
      <c r="BT40" s="405"/>
      <c r="BU40" s="405"/>
      <c r="BV40" s="405"/>
      <c r="BW40" s="405"/>
      <c r="BX40" s="405"/>
      <c r="BY40" s="405"/>
      <c r="BZ40" s="405"/>
      <c r="CA40" s="405"/>
      <c r="CB40" s="405"/>
      <c r="CC40" s="405"/>
      <c r="CD40" s="405"/>
      <c r="CE40" s="405"/>
      <c r="CF40" s="405"/>
      <c r="CG40" s="405"/>
      <c r="CH40" s="405"/>
      <c r="CI40" s="405"/>
      <c r="CJ40" s="405"/>
      <c r="CK40" s="405"/>
      <c r="CL40" s="405"/>
      <c r="CM40" s="405"/>
      <c r="CN40" s="405"/>
      <c r="CO40" s="405"/>
      <c r="CP40" s="405"/>
      <c r="CQ40" s="405"/>
      <c r="CR40" s="405"/>
      <c r="CS40" s="405"/>
      <c r="CT40" s="405"/>
      <c r="CU40" s="405"/>
      <c r="CV40" s="405"/>
      <c r="CW40" s="405"/>
      <c r="CX40" s="405"/>
      <c r="CY40" s="405"/>
      <c r="CZ40" s="405"/>
      <c r="DA40" s="405"/>
      <c r="DB40" s="405"/>
      <c r="DC40" s="405"/>
      <c r="DD40" s="405"/>
      <c r="DE40" s="405"/>
      <c r="DF40" s="405"/>
      <c r="DG40" s="405"/>
      <c r="DH40" s="405"/>
      <c r="DI40" s="405"/>
      <c r="DJ40" s="405"/>
      <c r="DK40" s="405"/>
      <c r="DL40" s="405"/>
      <c r="DM40" s="405"/>
      <c r="DN40" s="405"/>
      <c r="DO40" s="405"/>
      <c r="DP40" s="405"/>
      <c r="DQ40" s="405"/>
      <c r="DR40" s="405"/>
      <c r="DS40" s="405"/>
      <c r="DT40" s="405"/>
      <c r="DU40" s="405"/>
      <c r="DV40" s="405"/>
      <c r="DW40" s="405"/>
      <c r="DX40" s="405"/>
      <c r="DY40" s="405"/>
      <c r="DZ40" s="405"/>
      <c r="EA40" s="405"/>
      <c r="EB40" s="405"/>
      <c r="EC40" s="405"/>
      <c r="ED40" s="405"/>
      <c r="EE40" s="405"/>
      <c r="EF40" s="405"/>
      <c r="EG40" s="405"/>
      <c r="EH40" s="405"/>
      <c r="EI40" s="405"/>
      <c r="EJ40" s="405"/>
      <c r="EK40" s="405"/>
      <c r="EL40" s="405"/>
      <c r="EM40" s="405"/>
      <c r="EN40" s="405"/>
    </row>
    <row r="41" spans="2:144" ht="15" customHeight="1">
      <c r="B41" s="435" t="str">
        <f>VLOOKUP("Input_1_Header",Hidden_Translations!$B$11:$J$1184,Hidden_Translations!$C$8,FALSE)</f>
        <v>#1: Raw material definition</v>
      </c>
      <c r="C41" s="436"/>
      <c r="D41" s="436"/>
      <c r="E41" s="436"/>
      <c r="F41" s="436"/>
      <c r="G41" s="436"/>
      <c r="H41" s="436"/>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5"/>
      <c r="BR41" s="405"/>
      <c r="BS41" s="405"/>
      <c r="BT41" s="405"/>
      <c r="BU41" s="405"/>
      <c r="BV41" s="405"/>
      <c r="BW41" s="405"/>
      <c r="BX41" s="405"/>
      <c r="BY41" s="405"/>
      <c r="BZ41" s="405"/>
      <c r="CA41" s="405"/>
      <c r="CB41" s="405"/>
      <c r="CC41" s="405"/>
      <c r="CD41" s="405"/>
      <c r="CE41" s="405"/>
      <c r="CF41" s="405"/>
      <c r="CG41" s="405"/>
      <c r="CH41" s="405"/>
      <c r="CI41" s="405"/>
      <c r="CJ41" s="405"/>
      <c r="CK41" s="405"/>
      <c r="CL41" s="405"/>
      <c r="CM41" s="405"/>
      <c r="CN41" s="405"/>
      <c r="CO41" s="405"/>
      <c r="CP41" s="405"/>
      <c r="CQ41" s="405"/>
      <c r="CR41" s="405"/>
      <c r="CS41" s="405"/>
      <c r="CT41" s="405"/>
      <c r="CU41" s="405"/>
      <c r="CV41" s="405"/>
      <c r="CW41" s="405"/>
      <c r="CX41" s="405"/>
      <c r="CY41" s="405"/>
      <c r="CZ41" s="405"/>
      <c r="DA41" s="405"/>
      <c r="DB41" s="405"/>
      <c r="DC41" s="405"/>
      <c r="DD41" s="405"/>
      <c r="DE41" s="405"/>
      <c r="DF41" s="405"/>
      <c r="DG41" s="405"/>
      <c r="DH41" s="405"/>
      <c r="DI41" s="405"/>
      <c r="DJ41" s="405"/>
      <c r="DK41" s="405"/>
      <c r="DL41" s="405"/>
      <c r="DM41" s="405"/>
      <c r="DN41" s="405"/>
      <c r="DO41" s="405"/>
      <c r="DP41" s="405"/>
      <c r="DQ41" s="405"/>
      <c r="DR41" s="405"/>
      <c r="DS41" s="405"/>
      <c r="DT41" s="405"/>
      <c r="DU41" s="405"/>
      <c r="DV41" s="405"/>
      <c r="DW41" s="405"/>
      <c r="DX41" s="405"/>
      <c r="DY41" s="405"/>
      <c r="DZ41" s="405"/>
      <c r="EA41" s="405"/>
      <c r="EB41" s="405"/>
      <c r="EC41" s="405"/>
      <c r="ED41" s="405"/>
      <c r="EE41" s="405"/>
      <c r="EF41" s="405"/>
      <c r="EG41" s="405"/>
      <c r="EH41" s="405"/>
      <c r="EI41" s="405"/>
      <c r="EJ41" s="405"/>
      <c r="EK41" s="405"/>
      <c r="EL41" s="405"/>
      <c r="EM41" s="405"/>
      <c r="EN41" s="405"/>
    </row>
    <row r="42" spans="2:144" ht="15" customHeight="1">
      <c r="B42" s="412"/>
      <c r="C42" s="413"/>
      <c r="D42" s="413"/>
      <c r="E42" s="413"/>
      <c r="F42" s="413"/>
      <c r="G42" s="413"/>
      <c r="H42" s="413"/>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5"/>
      <c r="BR42" s="405"/>
      <c r="BS42" s="405"/>
      <c r="BT42" s="405"/>
      <c r="BU42" s="405"/>
      <c r="BV42" s="405"/>
      <c r="BW42" s="405"/>
      <c r="BX42" s="405"/>
      <c r="BY42" s="405"/>
      <c r="BZ42" s="405"/>
      <c r="CA42" s="405"/>
      <c r="CB42" s="405"/>
      <c r="CC42" s="405"/>
      <c r="CD42" s="405"/>
      <c r="CE42" s="405"/>
      <c r="CF42" s="405"/>
      <c r="CG42" s="405"/>
      <c r="CH42" s="405"/>
      <c r="CI42" s="405"/>
      <c r="CJ42" s="405"/>
      <c r="CK42" s="405"/>
      <c r="CL42" s="405"/>
      <c r="CM42" s="405"/>
      <c r="CN42" s="405"/>
      <c r="CO42" s="405"/>
      <c r="CP42" s="405"/>
      <c r="CQ42" s="405"/>
      <c r="CR42" s="405"/>
      <c r="CS42" s="405"/>
      <c r="CT42" s="405"/>
      <c r="CU42" s="405"/>
      <c r="CV42" s="405"/>
      <c r="CW42" s="405"/>
      <c r="CX42" s="405"/>
      <c r="CY42" s="405"/>
      <c r="CZ42" s="405"/>
      <c r="DA42" s="405"/>
      <c r="DB42" s="405"/>
      <c r="DC42" s="405"/>
      <c r="DD42" s="405"/>
      <c r="DE42" s="405"/>
      <c r="DF42" s="405"/>
      <c r="DG42" s="405"/>
      <c r="DH42" s="405"/>
      <c r="DI42" s="405"/>
      <c r="DJ42" s="405"/>
      <c r="DK42" s="405"/>
      <c r="DL42" s="405"/>
      <c r="DM42" s="405"/>
      <c r="DN42" s="405"/>
      <c r="DO42" s="405"/>
      <c r="DP42" s="405"/>
      <c r="DQ42" s="405"/>
      <c r="DR42" s="405"/>
      <c r="DS42" s="405"/>
      <c r="DT42" s="405"/>
      <c r="DU42" s="405"/>
      <c r="DV42" s="405"/>
      <c r="DW42" s="405"/>
      <c r="DX42" s="405"/>
      <c r="DY42" s="405"/>
      <c r="DZ42" s="405"/>
      <c r="EA42" s="405"/>
      <c r="EB42" s="405"/>
      <c r="EC42" s="405"/>
      <c r="ED42" s="405"/>
      <c r="EE42" s="405"/>
      <c r="EF42" s="405"/>
      <c r="EG42" s="405"/>
      <c r="EH42" s="405"/>
      <c r="EI42" s="405"/>
      <c r="EJ42" s="405"/>
      <c r="EK42" s="405"/>
      <c r="EL42" s="405"/>
      <c r="EM42" s="405"/>
      <c r="EN42" s="405"/>
    </row>
    <row r="43" spans="2:144" ht="30" customHeight="1" outlineLevel="1">
      <c r="B43" s="488" t="str">
        <f>VLOOKUP("Input_1_Header_Text",Hidden_Translations!$B$11:$J$1184,Hidden_Translations!$C$8,FALSE)</f>
        <v>Here, you may chose products from the defaults or your previous indiviudalization. The temperature levels for transportation and storage will be set automatically and all impacts related to the raw material provision and transport to the subsequent processor (next step) will be accounted for automatically.</v>
      </c>
      <c r="C43" s="488"/>
      <c r="D43" s="488"/>
      <c r="E43" s="488"/>
      <c r="F43" s="488"/>
      <c r="G43" s="488"/>
      <c r="H43" s="488"/>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05"/>
      <c r="CH43" s="405"/>
      <c r="CI43" s="405"/>
      <c r="CJ43" s="405"/>
      <c r="CK43" s="405"/>
      <c r="CL43" s="405"/>
      <c r="CM43" s="405"/>
      <c r="CN43" s="405"/>
      <c r="CO43" s="405"/>
      <c r="CP43" s="405"/>
      <c r="CQ43" s="405"/>
      <c r="CR43" s="405"/>
      <c r="CS43" s="405"/>
      <c r="CT43" s="405"/>
      <c r="CU43" s="405"/>
      <c r="CV43" s="405"/>
      <c r="CW43" s="405"/>
      <c r="CX43" s="405"/>
      <c r="CY43" s="405"/>
      <c r="CZ43" s="405"/>
      <c r="DA43" s="405"/>
      <c r="DB43" s="405"/>
      <c r="DC43" s="405"/>
      <c r="DD43" s="405"/>
      <c r="DE43" s="405"/>
      <c r="DF43" s="405"/>
      <c r="DG43" s="405"/>
      <c r="DH43" s="405"/>
      <c r="DI43" s="405"/>
      <c r="DJ43" s="405"/>
      <c r="DK43" s="405"/>
      <c r="DL43" s="405"/>
      <c r="DM43" s="405"/>
      <c r="DN43" s="405"/>
      <c r="DO43" s="405"/>
      <c r="DP43" s="405"/>
      <c r="DQ43" s="405"/>
      <c r="DR43" s="405"/>
      <c r="DS43" s="405"/>
      <c r="DT43" s="405"/>
      <c r="DU43" s="405"/>
      <c r="DV43" s="405"/>
      <c r="DW43" s="405"/>
      <c r="DX43" s="405"/>
      <c r="DY43" s="405"/>
      <c r="DZ43" s="405"/>
      <c r="EA43" s="405"/>
      <c r="EB43" s="405"/>
      <c r="EC43" s="405"/>
      <c r="ED43" s="405"/>
      <c r="EE43" s="405"/>
      <c r="EF43" s="405"/>
      <c r="EG43" s="405"/>
      <c r="EH43" s="405"/>
      <c r="EI43" s="405"/>
      <c r="EJ43" s="405"/>
      <c r="EK43" s="405"/>
      <c r="EL43" s="405"/>
      <c r="EM43" s="405"/>
      <c r="EN43" s="405"/>
    </row>
    <row r="44" spans="2:144" ht="15" customHeight="1" outlineLevel="1">
      <c r="B44" s="446"/>
      <c r="C44" s="413"/>
      <c r="D44" s="413"/>
      <c r="E44" s="413"/>
      <c r="F44" s="413"/>
      <c r="G44" s="413"/>
      <c r="H44" s="413"/>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c r="BY44" s="405"/>
      <c r="BZ44" s="405"/>
      <c r="CA44" s="405"/>
      <c r="CB44" s="405"/>
      <c r="CC44" s="405"/>
      <c r="CD44" s="405"/>
      <c r="CE44" s="405"/>
      <c r="CF44" s="405"/>
      <c r="CG44" s="405"/>
      <c r="CH44" s="405"/>
      <c r="CI44" s="405"/>
      <c r="CJ44" s="405"/>
      <c r="CK44" s="405"/>
      <c r="CL44" s="405"/>
      <c r="CM44" s="405"/>
      <c r="CN44" s="405"/>
      <c r="CO44" s="405"/>
      <c r="CP44" s="405"/>
      <c r="CQ44" s="405"/>
      <c r="CR44" s="405"/>
      <c r="CS44" s="405"/>
      <c r="CT44" s="405"/>
      <c r="CU44" s="405"/>
      <c r="CV44" s="405"/>
      <c r="CW44" s="405"/>
      <c r="CX44" s="405"/>
      <c r="CY44" s="405"/>
      <c r="CZ44" s="405"/>
      <c r="DA44" s="405"/>
      <c r="DB44" s="405"/>
      <c r="DC44" s="405"/>
      <c r="DD44" s="405"/>
      <c r="DE44" s="405"/>
      <c r="DF44" s="405"/>
      <c r="DG44" s="405"/>
      <c r="DH44" s="405"/>
      <c r="DI44" s="405"/>
      <c r="DJ44" s="405"/>
      <c r="DK44" s="405"/>
      <c r="DL44" s="405"/>
      <c r="DM44" s="405"/>
      <c r="DN44" s="405"/>
      <c r="DO44" s="405"/>
      <c r="DP44" s="405"/>
      <c r="DQ44" s="405"/>
      <c r="DR44" s="405"/>
      <c r="DS44" s="405"/>
      <c r="DT44" s="405"/>
      <c r="DU44" s="405"/>
      <c r="DV44" s="405"/>
      <c r="DW44" s="405"/>
      <c r="DX44" s="405"/>
      <c r="DY44" s="405"/>
      <c r="DZ44" s="405"/>
      <c r="EA44" s="405"/>
      <c r="EB44" s="405"/>
      <c r="EC44" s="405"/>
      <c r="ED44" s="405"/>
      <c r="EE44" s="405"/>
      <c r="EF44" s="405"/>
      <c r="EG44" s="405"/>
      <c r="EH44" s="405"/>
      <c r="EI44" s="405"/>
      <c r="EJ44" s="405"/>
      <c r="EK44" s="405"/>
      <c r="EL44" s="405"/>
      <c r="EM44" s="405"/>
      <c r="EN44" s="405"/>
    </row>
    <row r="45" spans="2:144" ht="15" customHeight="1" outlineLevel="1">
      <c r="B45" s="420" t="str">
        <f>VLOOKUP("Input_1_Product_Category",Hidden_Translations!$B$11:$J$1184,Hidden_Translations!$C$8,FALSE)</f>
        <v>Product category</v>
      </c>
      <c r="C45" s="411"/>
      <c r="D45" s="189"/>
      <c r="E45" s="420" t="str">
        <f>G22</f>
        <v>[Selection]</v>
      </c>
      <c r="F45" s="420"/>
      <c r="G45" s="420"/>
      <c r="H45" s="420"/>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5"/>
      <c r="BR45" s="405"/>
      <c r="BS45" s="405"/>
      <c r="BT45" s="405"/>
      <c r="BU45" s="405"/>
      <c r="BV45" s="405"/>
      <c r="BW45" s="405"/>
      <c r="BX45" s="405"/>
      <c r="BY45" s="405"/>
      <c r="BZ45" s="405"/>
      <c r="CA45" s="405"/>
      <c r="CB45" s="405"/>
      <c r="CC45" s="405"/>
      <c r="CD45" s="405"/>
      <c r="CE45" s="405"/>
      <c r="CF45" s="405"/>
      <c r="CG45" s="405"/>
      <c r="CH45" s="405"/>
      <c r="CI45" s="405"/>
      <c r="CJ45" s="405"/>
      <c r="CK45" s="405"/>
      <c r="CL45" s="405"/>
      <c r="CM45" s="405"/>
      <c r="CN45" s="405"/>
      <c r="CO45" s="405"/>
      <c r="CP45" s="405"/>
      <c r="CQ45" s="405"/>
      <c r="CR45" s="405"/>
      <c r="CS45" s="405"/>
      <c r="CT45" s="405"/>
      <c r="CU45" s="405"/>
      <c r="CV45" s="405"/>
      <c r="CW45" s="405"/>
      <c r="CX45" s="405"/>
      <c r="CY45" s="405"/>
      <c r="CZ45" s="405"/>
      <c r="DA45" s="405"/>
      <c r="DB45" s="405"/>
      <c r="DC45" s="405"/>
      <c r="DD45" s="405"/>
      <c r="DE45" s="405"/>
      <c r="DF45" s="405"/>
      <c r="DG45" s="405"/>
      <c r="DH45" s="405"/>
      <c r="DI45" s="405"/>
      <c r="DJ45" s="405"/>
      <c r="DK45" s="405"/>
      <c r="DL45" s="405"/>
      <c r="DM45" s="405"/>
      <c r="DN45" s="405"/>
      <c r="DO45" s="405"/>
      <c r="DP45" s="405"/>
      <c r="DQ45" s="405"/>
      <c r="DR45" s="405"/>
      <c r="DS45" s="405"/>
      <c r="DT45" s="405"/>
      <c r="DU45" s="405"/>
      <c r="DV45" s="405"/>
      <c r="DW45" s="405"/>
      <c r="DX45" s="405"/>
      <c r="DY45" s="405"/>
      <c r="DZ45" s="405"/>
      <c r="EA45" s="405"/>
      <c r="EB45" s="405"/>
      <c r="EC45" s="405"/>
      <c r="ED45" s="405"/>
      <c r="EE45" s="405"/>
      <c r="EF45" s="405"/>
      <c r="EG45" s="405"/>
      <c r="EH45" s="405"/>
      <c r="EI45" s="405"/>
      <c r="EJ45" s="405"/>
      <c r="EK45" s="405"/>
      <c r="EL45" s="405"/>
      <c r="EM45" s="405"/>
      <c r="EN45" s="405"/>
    </row>
    <row r="46" spans="2:144" ht="15" customHeight="1" outlineLevel="1">
      <c r="B46" s="420" t="str">
        <f>VLOOKUP("Input_1_Product_Subcategory",Hidden_Translations!$B$11:$J$1184,Hidden_Translations!$C$8,FALSE)</f>
        <v>Product sub-category</v>
      </c>
      <c r="C46" s="420"/>
      <c r="D46" s="189"/>
      <c r="E46" s="420" t="str">
        <f>G22</f>
        <v>[Selection]</v>
      </c>
      <c r="F46" s="420" t="str">
        <f>VLOOKUP("Input_1_Product_Batch",Hidden_Translations!$B$11:$J$1184,Hidden_Translations!$C$8,FALSE)</f>
        <v>Amount per batch (excluding packaging)</v>
      </c>
      <c r="G46" s="447"/>
      <c r="H46" s="420"/>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5"/>
      <c r="BR46" s="405"/>
      <c r="BS46" s="405"/>
      <c r="BT46" s="405"/>
      <c r="BU46" s="405"/>
      <c r="BV46" s="405"/>
      <c r="BW46" s="405"/>
      <c r="BX46" s="405"/>
      <c r="BY46" s="405"/>
      <c r="BZ46" s="405"/>
      <c r="CA46" s="405"/>
      <c r="CB46" s="405"/>
      <c r="CC46" s="405"/>
      <c r="CD46" s="405"/>
      <c r="CE46" s="405"/>
      <c r="CF46" s="405"/>
      <c r="CG46" s="405"/>
      <c r="CH46" s="405"/>
      <c r="CI46" s="405"/>
      <c r="CJ46" s="405"/>
      <c r="CK46" s="405"/>
      <c r="CL46" s="405"/>
      <c r="CM46" s="405"/>
      <c r="CN46" s="405"/>
      <c r="CO46" s="405"/>
      <c r="CP46" s="405"/>
      <c r="CQ46" s="405"/>
      <c r="CR46" s="405"/>
      <c r="CS46" s="405"/>
      <c r="CT46" s="405"/>
      <c r="CU46" s="405"/>
      <c r="CV46" s="405"/>
      <c r="CW46" s="405"/>
      <c r="CX46" s="405"/>
      <c r="CY46" s="405"/>
      <c r="CZ46" s="405"/>
      <c r="DA46" s="405"/>
      <c r="DB46" s="405"/>
      <c r="DC46" s="405"/>
      <c r="DD46" s="405"/>
      <c r="DE46" s="405"/>
      <c r="DF46" s="405"/>
      <c r="DG46" s="405"/>
      <c r="DH46" s="405"/>
      <c r="DI46" s="405"/>
      <c r="DJ46" s="405"/>
      <c r="DK46" s="405"/>
      <c r="DL46" s="405"/>
      <c r="DM46" s="405"/>
      <c r="DN46" s="405"/>
      <c r="DO46" s="405"/>
      <c r="DP46" s="405"/>
      <c r="DQ46" s="405"/>
      <c r="DR46" s="405"/>
      <c r="DS46" s="405"/>
      <c r="DT46" s="405"/>
      <c r="DU46" s="405"/>
      <c r="DV46" s="405"/>
      <c r="DW46" s="405"/>
      <c r="DX46" s="405"/>
      <c r="DY46" s="405"/>
      <c r="DZ46" s="405"/>
      <c r="EA46" s="405"/>
      <c r="EB46" s="405"/>
      <c r="EC46" s="405"/>
      <c r="ED46" s="405"/>
      <c r="EE46" s="405"/>
      <c r="EF46" s="405"/>
      <c r="EG46" s="405"/>
      <c r="EH46" s="405"/>
      <c r="EI46" s="405"/>
      <c r="EJ46" s="405"/>
      <c r="EK46" s="405"/>
      <c r="EL46" s="405"/>
      <c r="EM46" s="405"/>
      <c r="EN46" s="405"/>
    </row>
    <row r="47" spans="2:144" ht="15" customHeight="1" outlineLevel="1">
      <c r="B47" s="420" t="str">
        <f>VLOOKUP("Input_1_Product",Hidden_Translations!$B$11:$J$1184,Hidden_Translations!$C$8,FALSE) &amp; " 1"</f>
        <v>Product 1</v>
      </c>
      <c r="C47" s="420"/>
      <c r="D47" s="189"/>
      <c r="E47" s="420" t="str">
        <f>G22</f>
        <v>[Selection]</v>
      </c>
      <c r="F47" s="362">
        <v>0</v>
      </c>
      <c r="G47" s="447" t="str">
        <f>VLOOKUP(D47,Hidden_Database!$C$11:$I$75,3,FALSE)</f>
        <v>[kg]</v>
      </c>
      <c r="H47" s="420"/>
      <c r="J47" s="403"/>
      <c r="K47" s="441"/>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5"/>
      <c r="BR47" s="405"/>
      <c r="BS47" s="405"/>
      <c r="BT47" s="405"/>
      <c r="BU47" s="405"/>
      <c r="BV47" s="405"/>
      <c r="BW47" s="405"/>
      <c r="BX47" s="405"/>
      <c r="BY47" s="405"/>
      <c r="BZ47" s="405"/>
      <c r="CA47" s="405"/>
      <c r="CB47" s="405"/>
      <c r="CC47" s="405"/>
      <c r="CD47" s="405"/>
      <c r="CE47" s="405"/>
      <c r="CF47" s="405"/>
      <c r="CG47" s="405"/>
      <c r="CH47" s="405"/>
      <c r="CI47" s="405"/>
      <c r="CJ47" s="405"/>
      <c r="CK47" s="405"/>
      <c r="CL47" s="405"/>
      <c r="CM47" s="405"/>
      <c r="CN47" s="405"/>
      <c r="CO47" s="405"/>
      <c r="CP47" s="405"/>
      <c r="CQ47" s="405"/>
      <c r="CR47" s="405"/>
      <c r="CS47" s="405"/>
      <c r="CT47" s="405"/>
      <c r="CU47" s="405"/>
      <c r="CV47" s="405"/>
      <c r="CW47" s="405"/>
      <c r="CX47" s="405"/>
      <c r="CY47" s="405"/>
      <c r="CZ47" s="405"/>
      <c r="DA47" s="405"/>
      <c r="DB47" s="405"/>
      <c r="DC47" s="405"/>
      <c r="DD47" s="405"/>
      <c r="DE47" s="405"/>
      <c r="DF47" s="405"/>
      <c r="DG47" s="405"/>
      <c r="DH47" s="405"/>
      <c r="DI47" s="405"/>
      <c r="DJ47" s="405"/>
      <c r="DK47" s="405"/>
      <c r="DL47" s="405"/>
      <c r="DM47" s="405"/>
      <c r="DN47" s="405"/>
      <c r="DO47" s="405"/>
      <c r="DP47" s="405"/>
      <c r="DQ47" s="405"/>
      <c r="DR47" s="405"/>
      <c r="DS47" s="405"/>
      <c r="DT47" s="405"/>
      <c r="DU47" s="405"/>
      <c r="DV47" s="405"/>
      <c r="DW47" s="405"/>
      <c r="DX47" s="405"/>
      <c r="DY47" s="405"/>
      <c r="DZ47" s="405"/>
      <c r="EA47" s="405"/>
      <c r="EB47" s="405"/>
      <c r="EC47" s="405"/>
      <c r="ED47" s="405"/>
      <c r="EE47" s="405"/>
      <c r="EF47" s="405"/>
      <c r="EG47" s="405"/>
      <c r="EH47" s="405"/>
      <c r="EI47" s="405"/>
      <c r="EJ47" s="405"/>
      <c r="EK47" s="405"/>
      <c r="EL47" s="405"/>
      <c r="EM47" s="405"/>
      <c r="EN47" s="405"/>
    </row>
    <row r="48" spans="2:144" ht="15" customHeight="1" outlineLevel="1">
      <c r="B48" s="420" t="str">
        <f>VLOOKUP("Input_1_Product",Hidden_Translations!$B$11:$J$1184,Hidden_Translations!$C$8,FALSE) &amp; " 2"</f>
        <v>Product 2</v>
      </c>
      <c r="C48" s="420"/>
      <c r="D48" s="189"/>
      <c r="E48" s="420" t="str">
        <f>G22</f>
        <v>[Selection]</v>
      </c>
      <c r="F48" s="362">
        <v>0</v>
      </c>
      <c r="G48" s="447" t="str">
        <f>IF(D48&lt;&gt;"",VLOOKUP(D48,Hidden_Database!$C$11:$I$75,3,FALSE),"")</f>
        <v/>
      </c>
      <c r="H48" s="420"/>
      <c r="J48" s="403"/>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5"/>
      <c r="BR48" s="405"/>
      <c r="BS48" s="405"/>
      <c r="BT48" s="405"/>
      <c r="BU48" s="405"/>
      <c r="BV48" s="405"/>
      <c r="BW48" s="405"/>
      <c r="BX48" s="405"/>
      <c r="BY48" s="405"/>
      <c r="BZ48" s="405"/>
      <c r="CA48" s="405"/>
      <c r="CB48" s="405"/>
      <c r="CC48" s="405"/>
      <c r="CD48" s="405"/>
      <c r="CE48" s="405"/>
      <c r="CF48" s="405"/>
      <c r="CG48" s="405"/>
      <c r="CH48" s="405"/>
      <c r="CI48" s="405"/>
      <c r="CJ48" s="405"/>
      <c r="CK48" s="405"/>
      <c r="CL48" s="405"/>
      <c r="CM48" s="405"/>
      <c r="CN48" s="405"/>
      <c r="CO48" s="405"/>
      <c r="CP48" s="405"/>
      <c r="CQ48" s="405"/>
      <c r="CR48" s="405"/>
      <c r="CS48" s="405"/>
      <c r="CT48" s="405"/>
      <c r="CU48" s="405"/>
      <c r="CV48" s="405"/>
      <c r="CW48" s="405"/>
      <c r="CX48" s="405"/>
      <c r="CY48" s="405"/>
      <c r="CZ48" s="405"/>
      <c r="DA48" s="405"/>
      <c r="DB48" s="405"/>
      <c r="DC48" s="405"/>
      <c r="DD48" s="405"/>
      <c r="DE48" s="405"/>
      <c r="DF48" s="405"/>
      <c r="DG48" s="405"/>
      <c r="DH48" s="405"/>
      <c r="DI48" s="405"/>
      <c r="DJ48" s="405"/>
      <c r="DK48" s="405"/>
      <c r="DL48" s="405"/>
      <c r="DM48" s="405"/>
      <c r="DN48" s="405"/>
      <c r="DO48" s="405"/>
      <c r="DP48" s="405"/>
      <c r="DQ48" s="405"/>
      <c r="DR48" s="405"/>
      <c r="DS48" s="405"/>
      <c r="DT48" s="405"/>
      <c r="DU48" s="405"/>
      <c r="DV48" s="405"/>
      <c r="DW48" s="405"/>
      <c r="DX48" s="405"/>
      <c r="DY48" s="405"/>
      <c r="DZ48" s="405"/>
      <c r="EA48" s="405"/>
      <c r="EB48" s="405"/>
      <c r="EC48" s="405"/>
      <c r="ED48" s="405"/>
      <c r="EE48" s="405"/>
      <c r="EF48" s="405"/>
      <c r="EG48" s="405"/>
      <c r="EH48" s="405"/>
      <c r="EI48" s="405"/>
      <c r="EJ48" s="405"/>
      <c r="EK48" s="405"/>
      <c r="EL48" s="405"/>
      <c r="EM48" s="405"/>
      <c r="EN48" s="405"/>
    </row>
    <row r="49" spans="2:144" ht="15" customHeight="1" outlineLevel="1">
      <c r="C49" s="82"/>
      <c r="D49" s="413"/>
      <c r="E49" s="413"/>
      <c r="H49" s="403"/>
      <c r="J49" s="403"/>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5"/>
      <c r="BR49" s="405"/>
      <c r="BS49" s="405"/>
      <c r="BT49" s="405"/>
      <c r="BU49" s="405"/>
      <c r="BV49" s="405"/>
      <c r="BW49" s="405"/>
      <c r="BX49" s="405"/>
      <c r="BY49" s="405"/>
      <c r="BZ49" s="405"/>
      <c r="CA49" s="405"/>
      <c r="CB49" s="405"/>
      <c r="CC49" s="405"/>
      <c r="CD49" s="405"/>
      <c r="CE49" s="405"/>
      <c r="CF49" s="405"/>
      <c r="CG49" s="405"/>
      <c r="CH49" s="405"/>
      <c r="CI49" s="405"/>
      <c r="CJ49" s="405"/>
      <c r="CK49" s="405"/>
      <c r="CL49" s="405"/>
      <c r="CM49" s="405"/>
      <c r="CN49" s="405"/>
      <c r="CO49" s="405"/>
      <c r="CP49" s="405"/>
      <c r="CQ49" s="405"/>
      <c r="CR49" s="405"/>
      <c r="CS49" s="405"/>
      <c r="CT49" s="405"/>
      <c r="CU49" s="405"/>
      <c r="CV49" s="405"/>
      <c r="CW49" s="405"/>
      <c r="CX49" s="405"/>
      <c r="CY49" s="405"/>
      <c r="CZ49" s="405"/>
      <c r="DA49" s="405"/>
      <c r="DB49" s="405"/>
      <c r="DC49" s="405"/>
      <c r="DD49" s="405"/>
      <c r="DE49" s="405"/>
      <c r="DF49" s="405"/>
      <c r="DG49" s="405"/>
      <c r="DH49" s="405"/>
      <c r="DI49" s="405"/>
      <c r="DJ49" s="405"/>
      <c r="DK49" s="405"/>
      <c r="DL49" s="405"/>
      <c r="DM49" s="405"/>
      <c r="DN49" s="405"/>
      <c r="DO49" s="405"/>
      <c r="DP49" s="405"/>
      <c r="DQ49" s="405"/>
      <c r="DR49" s="405"/>
      <c r="DS49" s="405"/>
      <c r="DT49" s="405"/>
      <c r="DU49" s="405"/>
      <c r="DV49" s="405"/>
      <c r="DW49" s="405"/>
      <c r="DX49" s="405"/>
      <c r="DY49" s="405"/>
      <c r="DZ49" s="405"/>
      <c r="EA49" s="405"/>
      <c r="EB49" s="405"/>
      <c r="EC49" s="405"/>
      <c r="ED49" s="405"/>
      <c r="EE49" s="405"/>
      <c r="EF49" s="405"/>
      <c r="EG49" s="405"/>
      <c r="EH49" s="405"/>
      <c r="EI49" s="405"/>
      <c r="EJ49" s="405"/>
      <c r="EK49" s="405"/>
      <c r="EL49" s="405"/>
      <c r="EM49" s="405"/>
      <c r="EN49" s="405"/>
    </row>
    <row r="50" spans="2:144" ht="30" customHeight="1">
      <c r="B50" s="448" t="str">
        <f>VLOOKUP("Input_2_Header",Hidden_Translations!$B$11:$J$1184,Hidden_Translations!$C$8,FALSE)</f>
        <v>#2: Single drop transport (supplier to producer)</v>
      </c>
      <c r="C50" s="436"/>
      <c r="D50" s="436"/>
      <c r="E50" s="436"/>
      <c r="F50" s="436"/>
      <c r="G50" s="436"/>
      <c r="H50" s="436"/>
      <c r="J50" s="403"/>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c r="BY50" s="405"/>
      <c r="BZ50" s="405"/>
      <c r="CA50" s="405"/>
      <c r="CB50" s="405"/>
      <c r="CC50" s="405"/>
      <c r="CD50" s="405"/>
      <c r="CE50" s="405"/>
      <c r="CF50" s="405"/>
      <c r="CG50" s="405"/>
      <c r="CH50" s="405"/>
      <c r="CI50" s="405"/>
      <c r="CJ50" s="405"/>
      <c r="CK50" s="405"/>
      <c r="CL50" s="405"/>
      <c r="CM50" s="405"/>
      <c r="CN50" s="405"/>
      <c r="CO50" s="405"/>
      <c r="CP50" s="405"/>
      <c r="CQ50" s="405"/>
      <c r="CR50" s="405"/>
      <c r="CS50" s="405"/>
      <c r="CT50" s="405"/>
      <c r="CU50" s="405"/>
      <c r="CV50" s="405"/>
      <c r="CW50" s="405"/>
      <c r="CX50" s="405"/>
      <c r="CY50" s="405"/>
      <c r="CZ50" s="405"/>
      <c r="DA50" s="405"/>
      <c r="DB50" s="405"/>
      <c r="DC50" s="405"/>
      <c r="DD50" s="405"/>
      <c r="DE50" s="405"/>
      <c r="DF50" s="405"/>
      <c r="DG50" s="405"/>
      <c r="DH50" s="405"/>
      <c r="DI50" s="405"/>
      <c r="DJ50" s="405"/>
      <c r="DK50" s="405"/>
      <c r="DL50" s="405"/>
      <c r="DM50" s="405"/>
      <c r="DN50" s="405"/>
      <c r="DO50" s="405"/>
      <c r="DP50" s="405"/>
      <c r="DQ50" s="405"/>
      <c r="DR50" s="405"/>
      <c r="DS50" s="405"/>
      <c r="DT50" s="405"/>
      <c r="DU50" s="405"/>
      <c r="DV50" s="405"/>
      <c r="DW50" s="405"/>
      <c r="DX50" s="405"/>
      <c r="DY50" s="405"/>
      <c r="DZ50" s="405"/>
      <c r="EA50" s="405"/>
      <c r="EB50" s="405"/>
      <c r="EC50" s="405"/>
      <c r="ED50" s="405"/>
      <c r="EE50" s="405"/>
      <c r="EF50" s="405"/>
      <c r="EG50" s="405"/>
      <c r="EH50" s="405"/>
      <c r="EI50" s="405"/>
      <c r="EJ50" s="405"/>
      <c r="EK50" s="405"/>
      <c r="EL50" s="405"/>
      <c r="EM50" s="405"/>
      <c r="EN50" s="405"/>
    </row>
    <row r="51" spans="2:144" ht="15" customHeight="1">
      <c r="B51" s="449"/>
      <c r="C51" s="450"/>
      <c r="D51" s="72"/>
      <c r="E51" s="72"/>
      <c r="F51" s="451"/>
      <c r="G51" s="73"/>
      <c r="H51" s="74"/>
      <c r="J51" s="403"/>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row>
    <row r="52" spans="2:144" ht="15" customHeight="1" outlineLevel="1">
      <c r="B52" s="452" t="str">
        <f>VLOOKUP("Input_2_Header_Text",Hidden_Translations!$B$11:$J$1184,Hidden_Translations!$C$8,FALSE)</f>
        <v>This step adresses the transportation from the raw material supplier to the producer/processor.</v>
      </c>
      <c r="C52" s="450"/>
      <c r="D52" s="72"/>
      <c r="E52" s="72"/>
      <c r="F52" s="451"/>
      <c r="G52" s="73"/>
      <c r="H52" s="74"/>
      <c r="J52" s="403"/>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405"/>
      <c r="CH52" s="405"/>
      <c r="CI52" s="405"/>
      <c r="CJ52" s="405"/>
      <c r="CK52" s="405"/>
      <c r="CL52" s="405"/>
      <c r="CM52" s="405"/>
      <c r="CN52" s="405"/>
      <c r="CO52" s="405"/>
      <c r="CP52" s="405"/>
      <c r="CQ52" s="405"/>
      <c r="CR52" s="405"/>
      <c r="CS52" s="405"/>
      <c r="CT52" s="405"/>
      <c r="CU52" s="405"/>
      <c r="CV52" s="405"/>
      <c r="CW52" s="405"/>
      <c r="CX52" s="405"/>
      <c r="CY52" s="405"/>
      <c r="CZ52" s="405"/>
      <c r="DA52" s="405"/>
      <c r="DB52" s="405"/>
      <c r="DC52" s="405"/>
      <c r="DD52" s="405"/>
      <c r="DE52" s="405"/>
      <c r="DF52" s="405"/>
      <c r="DG52" s="405"/>
      <c r="DH52" s="405"/>
      <c r="DI52" s="405"/>
      <c r="DJ52" s="405"/>
      <c r="DK52" s="405"/>
      <c r="DL52" s="405"/>
      <c r="DM52" s="405"/>
      <c r="DN52" s="405"/>
      <c r="DO52" s="405"/>
      <c r="DP52" s="405"/>
      <c r="DQ52" s="405"/>
      <c r="DR52" s="405"/>
      <c r="DS52" s="405"/>
      <c r="DT52" s="405"/>
      <c r="DU52" s="405"/>
      <c r="DV52" s="405"/>
      <c r="DW52" s="405"/>
      <c r="DX52" s="405"/>
      <c r="DY52" s="405"/>
      <c r="DZ52" s="405"/>
      <c r="EA52" s="405"/>
      <c r="EB52" s="405"/>
      <c r="EC52" s="405"/>
      <c r="ED52" s="405"/>
      <c r="EE52" s="405"/>
      <c r="EF52" s="405"/>
      <c r="EG52" s="405"/>
      <c r="EH52" s="405"/>
      <c r="EI52" s="405"/>
      <c r="EJ52" s="405"/>
      <c r="EK52" s="405"/>
      <c r="EL52" s="405"/>
      <c r="EM52" s="405"/>
      <c r="EN52" s="405"/>
    </row>
    <row r="53" spans="2:144" ht="15" customHeight="1" outlineLevel="1">
      <c r="B53" s="449"/>
      <c r="C53" s="450"/>
      <c r="D53" s="72"/>
      <c r="E53" s="72"/>
      <c r="F53" s="451"/>
      <c r="G53" s="73"/>
      <c r="H53" s="74"/>
      <c r="J53" s="403"/>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5"/>
      <c r="CY53" s="405"/>
      <c r="CZ53" s="405"/>
      <c r="DA53" s="405"/>
      <c r="DB53" s="405"/>
      <c r="DC53" s="405"/>
      <c r="DD53" s="405"/>
      <c r="DE53" s="405"/>
      <c r="DF53" s="405"/>
      <c r="DG53" s="405"/>
      <c r="DH53" s="405"/>
      <c r="DI53" s="405"/>
      <c r="DJ53" s="405"/>
      <c r="DK53" s="405"/>
      <c r="DL53" s="405"/>
      <c r="DM53" s="405"/>
      <c r="DN53" s="405"/>
      <c r="DO53" s="405"/>
      <c r="DP53" s="405"/>
      <c r="DQ53" s="405"/>
      <c r="DR53" s="405"/>
      <c r="DS53" s="405"/>
      <c r="DT53" s="405"/>
      <c r="DU53" s="405"/>
      <c r="DV53" s="405"/>
      <c r="DW53" s="405"/>
      <c r="DX53" s="405"/>
      <c r="DY53" s="405"/>
      <c r="DZ53" s="405"/>
      <c r="EA53" s="405"/>
      <c r="EB53" s="405"/>
      <c r="EC53" s="405"/>
      <c r="ED53" s="405"/>
      <c r="EE53" s="405"/>
      <c r="EF53" s="405"/>
      <c r="EG53" s="405"/>
      <c r="EH53" s="405"/>
      <c r="EI53" s="405"/>
      <c r="EJ53" s="405"/>
      <c r="EK53" s="405"/>
      <c r="EL53" s="405"/>
      <c r="EM53" s="405"/>
      <c r="EN53" s="405"/>
    </row>
    <row r="54" spans="2:144" ht="15" customHeight="1" outlineLevel="1">
      <c r="B54" s="440" t="str">
        <f>VLOOKUP("Input_2_Vehicle_Header",Hidden_Translations!$B$11:$J$1184,Hidden_Translations!$C$8,FALSE)</f>
        <v>Vehicle use</v>
      </c>
      <c r="C54" s="440"/>
      <c r="D54" s="440"/>
      <c r="E54" s="440"/>
      <c r="F54" s="440"/>
      <c r="G54" s="440"/>
      <c r="H54" s="440"/>
      <c r="J54" s="403"/>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5"/>
      <c r="BS54" s="405"/>
      <c r="BT54" s="405"/>
      <c r="BU54" s="405"/>
      <c r="BV54" s="405"/>
      <c r="BW54" s="405"/>
      <c r="BX54" s="405"/>
      <c r="BY54" s="405"/>
      <c r="BZ54" s="405"/>
      <c r="CA54" s="405"/>
      <c r="CB54" s="405"/>
      <c r="CC54" s="405"/>
      <c r="CD54" s="405"/>
      <c r="CE54" s="405"/>
      <c r="CF54" s="405"/>
      <c r="CG54" s="405"/>
      <c r="CH54" s="405"/>
      <c r="CI54" s="405"/>
      <c r="CJ54" s="405"/>
      <c r="CK54" s="405"/>
      <c r="CL54" s="405"/>
      <c r="CM54" s="405"/>
      <c r="CN54" s="405"/>
      <c r="CO54" s="405"/>
      <c r="CP54" s="405"/>
      <c r="CQ54" s="405"/>
      <c r="CR54" s="405"/>
      <c r="CS54" s="405"/>
      <c r="CT54" s="405"/>
      <c r="CU54" s="405"/>
      <c r="CV54" s="405"/>
      <c r="CW54" s="405"/>
      <c r="CX54" s="405"/>
      <c r="CY54" s="405"/>
      <c r="CZ54" s="405"/>
      <c r="DA54" s="405"/>
      <c r="DB54" s="405"/>
      <c r="DC54" s="405"/>
      <c r="DD54" s="405"/>
      <c r="DE54" s="405"/>
      <c r="DF54" s="405"/>
      <c r="DG54" s="405"/>
      <c r="DH54" s="405"/>
      <c r="DI54" s="405"/>
      <c r="DJ54" s="405"/>
      <c r="DK54" s="405"/>
      <c r="DL54" s="405"/>
      <c r="DM54" s="405"/>
      <c r="DN54" s="405"/>
      <c r="DO54" s="405"/>
      <c r="DP54" s="405"/>
      <c r="DQ54" s="405"/>
      <c r="DR54" s="405"/>
      <c r="DS54" s="405"/>
      <c r="DT54" s="405"/>
      <c r="DU54" s="405"/>
      <c r="DV54" s="405"/>
      <c r="DW54" s="405"/>
      <c r="DX54" s="405"/>
      <c r="DY54" s="405"/>
      <c r="DZ54" s="405"/>
      <c r="EA54" s="405"/>
      <c r="EB54" s="405"/>
      <c r="EC54" s="405"/>
      <c r="ED54" s="405"/>
      <c r="EE54" s="405"/>
      <c r="EF54" s="405"/>
      <c r="EG54" s="405"/>
      <c r="EH54" s="405"/>
      <c r="EI54" s="405"/>
      <c r="EJ54" s="405"/>
      <c r="EK54" s="405"/>
      <c r="EL54" s="405"/>
      <c r="EM54" s="405"/>
      <c r="EN54" s="405"/>
    </row>
    <row r="55" spans="2:144" ht="15" customHeight="1" outlineLevel="1">
      <c r="B55" s="449"/>
      <c r="C55" s="450"/>
      <c r="D55" s="72"/>
      <c r="E55" s="72"/>
      <c r="F55" s="451"/>
      <c r="G55" s="73"/>
      <c r="H55" s="74"/>
      <c r="J55" s="403"/>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5"/>
      <c r="BO55" s="405"/>
      <c r="BP55" s="405"/>
      <c r="BQ55" s="405"/>
      <c r="BR55" s="405"/>
      <c r="BS55" s="405"/>
      <c r="BT55" s="405"/>
      <c r="BU55" s="405"/>
      <c r="BV55" s="405"/>
      <c r="BW55" s="405"/>
      <c r="BX55" s="405"/>
      <c r="BY55" s="405"/>
      <c r="BZ55" s="405"/>
      <c r="CA55" s="405"/>
      <c r="CB55" s="405"/>
      <c r="CC55" s="405"/>
      <c r="CD55" s="405"/>
      <c r="CE55" s="405"/>
      <c r="CF55" s="405"/>
      <c r="CG55" s="405"/>
      <c r="CH55" s="405"/>
      <c r="CI55" s="405"/>
      <c r="CJ55" s="405"/>
      <c r="CK55" s="405"/>
      <c r="CL55" s="405"/>
      <c r="CM55" s="405"/>
      <c r="CN55" s="405"/>
      <c r="CO55" s="405"/>
      <c r="CP55" s="405"/>
      <c r="CQ55" s="405"/>
      <c r="CR55" s="405"/>
      <c r="CS55" s="405"/>
      <c r="CT55" s="405"/>
      <c r="CU55" s="405"/>
      <c r="CV55" s="405"/>
      <c r="CW55" s="405"/>
      <c r="CX55" s="405"/>
      <c r="CY55" s="405"/>
      <c r="CZ55" s="405"/>
      <c r="DA55" s="405"/>
      <c r="DB55" s="405"/>
      <c r="DC55" s="405"/>
      <c r="DD55" s="405"/>
      <c r="DE55" s="405"/>
      <c r="DF55" s="405"/>
      <c r="DG55" s="405"/>
      <c r="DH55" s="405"/>
      <c r="DI55" s="405"/>
      <c r="DJ55" s="405"/>
      <c r="DK55" s="405"/>
      <c r="DL55" s="405"/>
      <c r="DM55" s="405"/>
      <c r="DN55" s="405"/>
      <c r="DO55" s="405"/>
      <c r="DP55" s="405"/>
      <c r="DQ55" s="405"/>
      <c r="DR55" s="405"/>
      <c r="DS55" s="405"/>
      <c r="DT55" s="405"/>
      <c r="DU55" s="405"/>
      <c r="DV55" s="405"/>
      <c r="DW55" s="405"/>
      <c r="DX55" s="405"/>
      <c r="DY55" s="405"/>
      <c r="DZ55" s="405"/>
      <c r="EA55" s="405"/>
      <c r="EB55" s="405"/>
      <c r="EC55" s="405"/>
      <c r="ED55" s="405"/>
      <c r="EE55" s="405"/>
      <c r="EF55" s="405"/>
      <c r="EG55" s="405"/>
      <c r="EH55" s="405"/>
      <c r="EI55" s="405"/>
      <c r="EJ55" s="405"/>
      <c r="EK55" s="405"/>
      <c r="EL55" s="405"/>
      <c r="EM55" s="405"/>
      <c r="EN55" s="405"/>
    </row>
    <row r="56" spans="2:144" ht="30" customHeight="1" outlineLevel="1">
      <c r="B56" s="489" t="str">
        <f>VLOOKUP("Input_2_Vehicle_Header_Text",Hidden_Translations!$B$11:$J$1184,Hidden_Translations!$C$8,FALSE)</f>
        <v>Please specify up to five vehicles used for transportation in this stage of the supply chain. Please choose first whether refrigeration in these vehicles is provided by the vehicles' main engines or auxilliary units.</v>
      </c>
      <c r="C56" s="489"/>
      <c r="D56" s="489"/>
      <c r="E56" s="489"/>
      <c r="F56" s="489"/>
      <c r="G56" s="489"/>
      <c r="H56" s="489"/>
      <c r="U56" s="405"/>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5"/>
      <c r="AZ56" s="405"/>
      <c r="BA56" s="405"/>
      <c r="BB56" s="405"/>
      <c r="BC56" s="405"/>
      <c r="BD56" s="405"/>
      <c r="BE56" s="405"/>
      <c r="BF56" s="405"/>
      <c r="BG56" s="405"/>
      <c r="BH56" s="405"/>
      <c r="BI56" s="405"/>
      <c r="BJ56" s="405"/>
      <c r="BK56" s="405"/>
      <c r="BL56" s="405"/>
      <c r="BM56" s="405"/>
      <c r="BN56" s="405"/>
      <c r="BO56" s="405"/>
      <c r="BP56" s="405"/>
      <c r="BQ56" s="405"/>
      <c r="BR56" s="405"/>
      <c r="BS56" s="405"/>
      <c r="BT56" s="405"/>
      <c r="BU56" s="405"/>
      <c r="BV56" s="405"/>
      <c r="BW56" s="405"/>
      <c r="BX56" s="405"/>
      <c r="BY56" s="405"/>
      <c r="BZ56" s="405"/>
      <c r="CA56" s="405"/>
      <c r="CB56" s="405"/>
      <c r="CC56" s="405"/>
      <c r="CD56" s="405"/>
      <c r="CE56" s="405"/>
      <c r="CF56" s="405"/>
      <c r="CG56" s="405"/>
      <c r="CH56" s="405"/>
      <c r="CI56" s="405"/>
      <c r="CJ56" s="405"/>
      <c r="CK56" s="405"/>
      <c r="CL56" s="405"/>
      <c r="CM56" s="405"/>
      <c r="CN56" s="405"/>
      <c r="CO56" s="405"/>
      <c r="CP56" s="405"/>
      <c r="CQ56" s="405"/>
      <c r="CR56" s="405"/>
      <c r="CS56" s="405"/>
      <c r="CT56" s="405"/>
      <c r="CU56" s="405"/>
      <c r="CV56" s="405"/>
      <c r="CW56" s="405"/>
      <c r="CX56" s="405"/>
      <c r="CY56" s="405"/>
      <c r="CZ56" s="405"/>
      <c r="DA56" s="405"/>
      <c r="DB56" s="405"/>
      <c r="DC56" s="405"/>
      <c r="DD56" s="405"/>
      <c r="DE56" s="405"/>
      <c r="DF56" s="405"/>
      <c r="DG56" s="405"/>
      <c r="DH56" s="405"/>
      <c r="DI56" s="405"/>
      <c r="DJ56" s="405"/>
      <c r="DK56" s="405"/>
      <c r="DL56" s="405"/>
      <c r="DM56" s="405"/>
      <c r="DN56" s="405"/>
      <c r="DO56" s="405"/>
      <c r="DP56" s="405"/>
      <c r="DQ56" s="405"/>
      <c r="DR56" s="405"/>
      <c r="DS56" s="405"/>
      <c r="DT56" s="405"/>
      <c r="DU56" s="405"/>
      <c r="DV56" s="405"/>
      <c r="DW56" s="405"/>
      <c r="DX56" s="405"/>
      <c r="DY56" s="405"/>
      <c r="DZ56" s="405"/>
      <c r="EA56" s="405"/>
      <c r="EB56" s="405"/>
      <c r="EC56" s="405"/>
      <c r="ED56" s="405"/>
      <c r="EE56" s="405"/>
      <c r="EF56" s="405"/>
      <c r="EG56" s="405"/>
      <c r="EH56" s="405"/>
      <c r="EI56" s="405"/>
      <c r="EJ56" s="405"/>
      <c r="EK56" s="405"/>
      <c r="EL56" s="405"/>
      <c r="EM56" s="405"/>
      <c r="EN56" s="405"/>
    </row>
    <row r="57" spans="2:144" ht="15" customHeight="1" outlineLevel="1">
      <c r="B57" s="404"/>
      <c r="C57" s="75"/>
      <c r="D57" s="76"/>
      <c r="E57" s="76"/>
      <c r="F57" s="76"/>
      <c r="G57" s="84"/>
      <c r="H57" s="76"/>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405"/>
      <c r="BA57" s="405"/>
      <c r="BB57" s="405"/>
      <c r="BC57" s="405"/>
      <c r="BD57" s="405"/>
      <c r="BE57" s="405"/>
      <c r="BF57" s="405"/>
      <c r="BG57" s="405"/>
      <c r="BH57" s="405"/>
      <c r="BI57" s="405"/>
      <c r="BJ57" s="405"/>
      <c r="BK57" s="405"/>
      <c r="BL57" s="405"/>
      <c r="BM57" s="405"/>
      <c r="BN57" s="405"/>
      <c r="BO57" s="405"/>
      <c r="BP57" s="405"/>
      <c r="BQ57" s="405"/>
      <c r="BR57" s="405"/>
      <c r="BS57" s="405"/>
      <c r="BT57" s="405"/>
      <c r="BU57" s="405"/>
      <c r="BV57" s="405"/>
      <c r="BW57" s="405"/>
      <c r="BX57" s="405"/>
      <c r="BY57" s="405"/>
      <c r="BZ57" s="405"/>
      <c r="CA57" s="405"/>
      <c r="CB57" s="405"/>
      <c r="CC57" s="405"/>
      <c r="CD57" s="405"/>
      <c r="CE57" s="405"/>
      <c r="CF57" s="405"/>
      <c r="CG57" s="405"/>
      <c r="CH57" s="405"/>
      <c r="CI57" s="405"/>
      <c r="CJ57" s="405"/>
      <c r="CK57" s="405"/>
      <c r="CL57" s="405"/>
      <c r="CM57" s="405"/>
      <c r="CN57" s="405"/>
      <c r="CO57" s="405"/>
      <c r="CP57" s="405"/>
      <c r="CQ57" s="405"/>
      <c r="CR57" s="405"/>
      <c r="CS57" s="405"/>
      <c r="CT57" s="405"/>
      <c r="CU57" s="405"/>
      <c r="CV57" s="405"/>
      <c r="CW57" s="405"/>
      <c r="CX57" s="405"/>
      <c r="CY57" s="405"/>
      <c r="CZ57" s="405"/>
      <c r="DA57" s="405"/>
      <c r="DB57" s="405"/>
      <c r="DC57" s="405"/>
      <c r="DD57" s="405"/>
      <c r="DE57" s="405"/>
      <c r="DF57" s="405"/>
      <c r="DG57" s="405"/>
      <c r="DH57" s="405"/>
      <c r="DI57" s="405"/>
      <c r="DJ57" s="405"/>
      <c r="DK57" s="405"/>
      <c r="DL57" s="405"/>
      <c r="DM57" s="405"/>
      <c r="DN57" s="405"/>
      <c r="DO57" s="405"/>
      <c r="DP57" s="405"/>
      <c r="DQ57" s="405"/>
      <c r="DR57" s="405"/>
      <c r="DS57" s="405"/>
      <c r="DT57" s="405"/>
      <c r="DU57" s="405"/>
      <c r="DV57" s="405"/>
      <c r="DW57" s="405"/>
      <c r="DX57" s="405"/>
      <c r="DY57" s="405"/>
      <c r="DZ57" s="405"/>
      <c r="EA57" s="405"/>
      <c r="EB57" s="405"/>
      <c r="EC57" s="405"/>
      <c r="ED57" s="405"/>
      <c r="EE57" s="405"/>
      <c r="EF57" s="405"/>
      <c r="EG57" s="405"/>
      <c r="EH57" s="405"/>
      <c r="EI57" s="405"/>
      <c r="EJ57" s="405"/>
      <c r="EK57" s="405"/>
      <c r="EL57" s="405"/>
      <c r="EM57" s="405"/>
      <c r="EN57" s="405"/>
    </row>
    <row r="58" spans="2:144" ht="15" customHeight="1" outlineLevel="1">
      <c r="B58" s="492" t="str">
        <f>VLOOKUP("Input_2_Vehicle_Powering",Hidden_Translations!$B$11:$J$1184,Hidden_Translations!$C$8,FALSE)</f>
        <v>Is refrigeration provided by auxiliary powered units in transport vehicles?</v>
      </c>
      <c r="C58" s="492"/>
      <c r="D58" s="492"/>
      <c r="E58" s="493"/>
      <c r="F58" s="284"/>
      <c r="G58" s="420" t="str">
        <f>G22</f>
        <v>[Selection]</v>
      </c>
      <c r="H58" s="420"/>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5"/>
      <c r="AY58" s="405"/>
      <c r="AZ58" s="405"/>
      <c r="BA58" s="405"/>
      <c r="BB58" s="405"/>
      <c r="BC58" s="405"/>
      <c r="BD58" s="405"/>
      <c r="BE58" s="405"/>
      <c r="BF58" s="405"/>
      <c r="BG58" s="405"/>
      <c r="BH58" s="405"/>
      <c r="BI58" s="405"/>
      <c r="BJ58" s="405"/>
      <c r="BK58" s="405"/>
      <c r="BL58" s="405"/>
      <c r="BM58" s="405"/>
      <c r="BN58" s="405"/>
      <c r="BO58" s="405"/>
      <c r="BP58" s="405"/>
      <c r="BQ58" s="405"/>
      <c r="BR58" s="405"/>
      <c r="BS58" s="405"/>
      <c r="BT58" s="405"/>
      <c r="BU58" s="405"/>
      <c r="BV58" s="405"/>
      <c r="BW58" s="405"/>
      <c r="BX58" s="405"/>
      <c r="BY58" s="405"/>
      <c r="BZ58" s="405"/>
      <c r="CA58" s="405"/>
      <c r="CB58" s="405"/>
      <c r="CC58" s="405"/>
      <c r="CD58" s="405"/>
      <c r="CE58" s="405"/>
      <c r="CF58" s="405"/>
      <c r="CG58" s="405"/>
      <c r="CH58" s="405"/>
      <c r="CI58" s="405"/>
      <c r="CJ58" s="405"/>
      <c r="CK58" s="405"/>
      <c r="CL58" s="405"/>
      <c r="CM58" s="405"/>
      <c r="CN58" s="405"/>
      <c r="CO58" s="405"/>
      <c r="CP58" s="405"/>
      <c r="CQ58" s="405"/>
      <c r="CR58" s="405"/>
      <c r="CS58" s="405"/>
      <c r="CT58" s="405"/>
      <c r="CU58" s="405"/>
      <c r="CV58" s="405"/>
      <c r="CW58" s="405"/>
      <c r="CX58" s="405"/>
      <c r="CY58" s="405"/>
      <c r="CZ58" s="405"/>
      <c r="DA58" s="405"/>
      <c r="DB58" s="405"/>
      <c r="DC58" s="405"/>
      <c r="DD58" s="405"/>
      <c r="DE58" s="405"/>
      <c r="DF58" s="405"/>
      <c r="DG58" s="405"/>
      <c r="DH58" s="405"/>
      <c r="DI58" s="405"/>
      <c r="DJ58" s="405"/>
      <c r="DK58" s="405"/>
      <c r="DL58" s="405"/>
      <c r="DM58" s="405"/>
      <c r="DN58" s="405"/>
      <c r="DO58" s="405"/>
      <c r="DP58" s="405"/>
      <c r="DQ58" s="405"/>
      <c r="DR58" s="405"/>
      <c r="DS58" s="405"/>
      <c r="DT58" s="405"/>
      <c r="DU58" s="405"/>
      <c r="DV58" s="405"/>
      <c r="DW58" s="405"/>
      <c r="DX58" s="405"/>
      <c r="DY58" s="405"/>
      <c r="DZ58" s="405"/>
      <c r="EA58" s="405"/>
      <c r="EB58" s="405"/>
      <c r="EC58" s="405"/>
      <c r="ED58" s="405"/>
      <c r="EE58" s="405"/>
      <c r="EF58" s="405"/>
      <c r="EG58" s="405"/>
      <c r="EH58" s="405"/>
      <c r="EI58" s="405"/>
      <c r="EJ58" s="405"/>
      <c r="EK58" s="405"/>
      <c r="EL58" s="405"/>
      <c r="EM58" s="405"/>
      <c r="EN58" s="405"/>
    </row>
    <row r="59" spans="2:144" ht="15" customHeight="1" outlineLevel="1">
      <c r="B59" s="404"/>
      <c r="C59" s="75"/>
      <c r="D59" s="76"/>
      <c r="E59" s="76"/>
      <c r="F59" s="76"/>
      <c r="G59" s="84"/>
      <c r="H59" s="76"/>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5"/>
      <c r="AY59" s="405"/>
      <c r="AZ59" s="405"/>
      <c r="BA59" s="405"/>
      <c r="BB59" s="405"/>
      <c r="BC59" s="405"/>
      <c r="BD59" s="405"/>
      <c r="BE59" s="405"/>
      <c r="BF59" s="405"/>
      <c r="BG59" s="405"/>
      <c r="BH59" s="405"/>
      <c r="BI59" s="405"/>
      <c r="BJ59" s="405"/>
      <c r="BK59" s="405"/>
      <c r="BL59" s="405"/>
      <c r="BM59" s="405"/>
      <c r="BN59" s="405"/>
      <c r="BO59" s="405"/>
      <c r="BP59" s="405"/>
      <c r="BQ59" s="405"/>
      <c r="BR59" s="405"/>
      <c r="BS59" s="405"/>
      <c r="BT59" s="405"/>
      <c r="BU59" s="405"/>
      <c r="BV59" s="405"/>
      <c r="BW59" s="405"/>
      <c r="BX59" s="405"/>
      <c r="BY59" s="405"/>
      <c r="BZ59" s="405"/>
      <c r="CA59" s="405"/>
      <c r="CB59" s="405"/>
      <c r="CC59" s="405"/>
      <c r="CD59" s="405"/>
      <c r="CE59" s="405"/>
      <c r="CF59" s="405"/>
      <c r="CG59" s="405"/>
      <c r="CH59" s="405"/>
      <c r="CI59" s="405"/>
      <c r="CJ59" s="405"/>
      <c r="CK59" s="405"/>
      <c r="CL59" s="405"/>
      <c r="CM59" s="405"/>
      <c r="CN59" s="405"/>
      <c r="CO59" s="405"/>
      <c r="CP59" s="405"/>
      <c r="CQ59" s="405"/>
      <c r="CR59" s="405"/>
      <c r="CS59" s="405"/>
      <c r="CT59" s="405"/>
      <c r="CU59" s="405"/>
      <c r="CV59" s="405"/>
      <c r="CW59" s="405"/>
      <c r="CX59" s="405"/>
      <c r="CY59" s="405"/>
      <c r="CZ59" s="405"/>
      <c r="DA59" s="405"/>
      <c r="DB59" s="405"/>
      <c r="DC59" s="405"/>
      <c r="DD59" s="405"/>
      <c r="DE59" s="405"/>
      <c r="DF59" s="405"/>
      <c r="DG59" s="405"/>
      <c r="DH59" s="405"/>
      <c r="DI59" s="405"/>
      <c r="DJ59" s="405"/>
      <c r="DK59" s="405"/>
      <c r="DL59" s="405"/>
      <c r="DM59" s="405"/>
      <c r="DN59" s="405"/>
      <c r="DO59" s="405"/>
      <c r="DP59" s="405"/>
      <c r="DQ59" s="405"/>
      <c r="DR59" s="405"/>
      <c r="DS59" s="405"/>
      <c r="DT59" s="405"/>
      <c r="DU59" s="405"/>
      <c r="DV59" s="405"/>
      <c r="DW59" s="405"/>
      <c r="DX59" s="405"/>
      <c r="DY59" s="405"/>
      <c r="DZ59" s="405"/>
      <c r="EA59" s="405"/>
      <c r="EB59" s="405"/>
      <c r="EC59" s="405"/>
      <c r="ED59" s="405"/>
      <c r="EE59" s="405"/>
      <c r="EF59" s="405"/>
      <c r="EG59" s="405"/>
      <c r="EH59" s="405"/>
      <c r="EI59" s="405"/>
      <c r="EJ59" s="405"/>
      <c r="EK59" s="405"/>
      <c r="EL59" s="405"/>
      <c r="EM59" s="405"/>
      <c r="EN59" s="405"/>
    </row>
    <row r="60" spans="2:144" ht="15" customHeight="1" outlineLevel="1">
      <c r="B60" s="449"/>
      <c r="C60" s="453" t="str">
        <f>VLOOKUP("Input_2_Vehicle",Hidden_Translations!$B$11:$J$1184,Hidden_Translations!$C$8,FALSE) &amp; " 1"</f>
        <v>Vehicle 1</v>
      </c>
      <c r="D60" s="453" t="str">
        <f>VLOOKUP("Input_2_Vehicle",Hidden_Translations!$B$11:$J$1184,Hidden_Translations!$C$8,FALSE) &amp; " 2"</f>
        <v>Vehicle 2</v>
      </c>
      <c r="E60" s="453" t="str">
        <f>VLOOKUP("Input_2_Vehicle",Hidden_Translations!$B$11:$J$1184,Hidden_Translations!$C$8,FALSE) &amp; " 3"</f>
        <v>Vehicle 3</v>
      </c>
      <c r="F60" s="453" t="str">
        <f>VLOOKUP("Input_2_Vehicle",Hidden_Translations!$B$11:$J$1184,Hidden_Translations!$C$8,FALSE) &amp; " 4"</f>
        <v>Vehicle 4</v>
      </c>
      <c r="G60" s="453" t="str">
        <f>VLOOKUP("Input_2_Vehicle",Hidden_Translations!$B$11:$J$1184,Hidden_Translations!$C$8,FALSE) &amp; " 5"</f>
        <v>Vehicle 5</v>
      </c>
      <c r="H60" s="84"/>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5"/>
      <c r="AZ60" s="405"/>
      <c r="BA60" s="405"/>
      <c r="BB60" s="405"/>
      <c r="BC60" s="405"/>
      <c r="BD60" s="405"/>
      <c r="BE60" s="405"/>
      <c r="BF60" s="405"/>
      <c r="BG60" s="405"/>
      <c r="BH60" s="405"/>
      <c r="BI60" s="405"/>
      <c r="BJ60" s="405"/>
      <c r="BK60" s="405"/>
      <c r="BL60" s="405"/>
      <c r="BM60" s="405"/>
      <c r="BN60" s="405"/>
      <c r="BO60" s="405"/>
      <c r="BP60" s="405"/>
      <c r="BQ60" s="405"/>
      <c r="BR60" s="405"/>
      <c r="BS60" s="405"/>
      <c r="BT60" s="405"/>
      <c r="BU60" s="405"/>
      <c r="BV60" s="405"/>
      <c r="BW60" s="405"/>
      <c r="BX60" s="405"/>
      <c r="BY60" s="405"/>
      <c r="BZ60" s="405"/>
      <c r="CA60" s="405"/>
      <c r="CB60" s="405"/>
      <c r="CC60" s="405"/>
      <c r="CD60" s="405"/>
      <c r="CE60" s="405"/>
      <c r="CF60" s="405"/>
      <c r="CG60" s="405"/>
      <c r="CH60" s="405"/>
      <c r="CI60" s="405"/>
      <c r="CJ60" s="405"/>
      <c r="CK60" s="405"/>
      <c r="CL60" s="405"/>
      <c r="CM60" s="405"/>
      <c r="CN60" s="405"/>
      <c r="CO60" s="405"/>
      <c r="CP60" s="405"/>
      <c r="CQ60" s="405"/>
      <c r="CR60" s="405"/>
      <c r="CS60" s="405"/>
      <c r="CT60" s="405"/>
      <c r="CU60" s="405"/>
      <c r="CV60" s="405"/>
      <c r="CW60" s="405"/>
      <c r="CX60" s="405"/>
      <c r="CY60" s="405"/>
      <c r="CZ60" s="405"/>
      <c r="DA60" s="405"/>
      <c r="DB60" s="405"/>
      <c r="DC60" s="405"/>
      <c r="DD60" s="405"/>
      <c r="DE60" s="405"/>
      <c r="DF60" s="405"/>
      <c r="DG60" s="405"/>
      <c r="DH60" s="405"/>
      <c r="DI60" s="405"/>
      <c r="DJ60" s="405"/>
      <c r="DK60" s="405"/>
      <c r="DL60" s="405"/>
      <c r="DM60" s="405"/>
      <c r="DN60" s="405"/>
      <c r="DO60" s="405"/>
      <c r="DP60" s="405"/>
      <c r="DQ60" s="405"/>
      <c r="DR60" s="405"/>
      <c r="DS60" s="405"/>
      <c r="DT60" s="405"/>
      <c r="DU60" s="405"/>
      <c r="DV60" s="405"/>
      <c r="DW60" s="405"/>
      <c r="DX60" s="405"/>
      <c r="DY60" s="405"/>
      <c r="DZ60" s="405"/>
      <c r="EA60" s="405"/>
      <c r="EB60" s="405"/>
      <c r="EC60" s="405"/>
      <c r="ED60" s="405"/>
      <c r="EE60" s="405"/>
      <c r="EF60" s="405"/>
      <c r="EG60" s="405"/>
      <c r="EH60" s="405"/>
      <c r="EI60" s="405"/>
      <c r="EJ60" s="405"/>
      <c r="EK60" s="405"/>
      <c r="EL60" s="405"/>
      <c r="EM60" s="405"/>
      <c r="EN60" s="405"/>
    </row>
    <row r="61" spans="2:144" ht="15" customHeight="1" outlineLevel="1">
      <c r="B61" s="420" t="str">
        <f>VLOOKUP("Input_2_Vehicle_Type",Hidden_Translations!$B$11:$J$1184,Hidden_Translations!$C$8,FALSE)</f>
        <v>Type of vehicle</v>
      </c>
      <c r="C61" s="260" t="s">
        <v>249</v>
      </c>
      <c r="D61" s="260" t="s">
        <v>249</v>
      </c>
      <c r="E61" s="260" t="s">
        <v>249</v>
      </c>
      <c r="F61" s="260" t="s">
        <v>249</v>
      </c>
      <c r="G61" s="260" t="s">
        <v>249</v>
      </c>
      <c r="H61" s="420" t="str">
        <f>G22</f>
        <v>[Selection]</v>
      </c>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405"/>
      <c r="BB61" s="405"/>
      <c r="BC61" s="405"/>
      <c r="BD61" s="405"/>
      <c r="BE61" s="405"/>
      <c r="BF61" s="405"/>
      <c r="BG61" s="405"/>
      <c r="BH61" s="405"/>
      <c r="BI61" s="405"/>
      <c r="BJ61" s="405"/>
      <c r="BK61" s="405"/>
      <c r="BL61" s="405"/>
      <c r="BM61" s="405"/>
      <c r="BN61" s="405"/>
      <c r="BO61" s="405"/>
      <c r="BP61" s="405"/>
      <c r="BQ61" s="405"/>
      <c r="BR61" s="405"/>
      <c r="BS61" s="405"/>
      <c r="BT61" s="405"/>
      <c r="BU61" s="405"/>
      <c r="BV61" s="405"/>
      <c r="BW61" s="405"/>
      <c r="BX61" s="405"/>
      <c r="BY61" s="405"/>
      <c r="BZ61" s="405"/>
      <c r="CA61" s="405"/>
      <c r="CB61" s="405"/>
      <c r="CC61" s="405"/>
      <c r="CD61" s="405"/>
      <c r="CE61" s="405"/>
      <c r="CF61" s="405"/>
      <c r="CG61" s="405"/>
      <c r="CH61" s="405"/>
      <c r="CI61" s="405"/>
      <c r="CJ61" s="405"/>
      <c r="CK61" s="405"/>
      <c r="CL61" s="405"/>
      <c r="CM61" s="405"/>
      <c r="CN61" s="405"/>
      <c r="CO61" s="405"/>
      <c r="CP61" s="405"/>
      <c r="CQ61" s="405"/>
      <c r="CR61" s="405"/>
      <c r="CS61" s="405"/>
      <c r="CT61" s="405"/>
      <c r="CU61" s="405"/>
      <c r="CV61" s="405"/>
      <c r="CW61" s="405"/>
      <c r="CX61" s="405"/>
      <c r="CY61" s="405"/>
      <c r="CZ61" s="405"/>
      <c r="DA61" s="405"/>
      <c r="DB61" s="405"/>
      <c r="DC61" s="405"/>
      <c r="DD61" s="405"/>
      <c r="DE61" s="405"/>
      <c r="DF61" s="405"/>
      <c r="DG61" s="405"/>
      <c r="DH61" s="405"/>
      <c r="DI61" s="405"/>
      <c r="DJ61" s="405"/>
      <c r="DK61" s="405"/>
      <c r="DL61" s="405"/>
      <c r="DM61" s="405"/>
      <c r="DN61" s="405"/>
      <c r="DO61" s="405"/>
      <c r="DP61" s="405"/>
      <c r="DQ61" s="405"/>
      <c r="DR61" s="405"/>
      <c r="DS61" s="405"/>
      <c r="DT61" s="405"/>
      <c r="DU61" s="405"/>
      <c r="DV61" s="405"/>
      <c r="DW61" s="405"/>
      <c r="DX61" s="405"/>
      <c r="DY61" s="405"/>
      <c r="DZ61" s="405"/>
      <c r="EA61" s="405"/>
      <c r="EB61" s="405"/>
      <c r="EC61" s="405"/>
      <c r="ED61" s="405"/>
      <c r="EE61" s="405"/>
      <c r="EF61" s="405"/>
      <c r="EG61" s="405"/>
      <c r="EH61" s="405"/>
      <c r="EI61" s="405"/>
      <c r="EJ61" s="405"/>
      <c r="EK61" s="405"/>
      <c r="EL61" s="405"/>
      <c r="EM61" s="405"/>
      <c r="EN61" s="405"/>
    </row>
    <row r="62" spans="2:144" ht="15" customHeight="1" outlineLevel="1">
      <c r="B62" s="411" t="str">
        <f>VLOOKUP("Input_2_Vehicle_Distance",Hidden_Translations!$B$11:$J$1184,Hidden_Translations!$C$8,FALSE)</f>
        <v>Distance</v>
      </c>
      <c r="C62" s="359">
        <v>0</v>
      </c>
      <c r="D62" s="359">
        <v>0</v>
      </c>
      <c r="E62" s="359">
        <v>0</v>
      </c>
      <c r="F62" s="359">
        <v>0</v>
      </c>
      <c r="G62" s="359">
        <v>0</v>
      </c>
      <c r="H62" s="411" t="str">
        <f>VLOOKUP("Units_km",Hidden_Translations!$B$11:$J$1184,Hidden_Translations!$C$8,FALSE)</f>
        <v>[km]</v>
      </c>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405"/>
      <c r="BB62" s="405"/>
      <c r="BC62" s="405"/>
      <c r="BD62" s="405"/>
      <c r="BE62" s="405"/>
      <c r="BF62" s="405"/>
      <c r="BG62" s="405"/>
      <c r="BH62" s="405"/>
      <c r="BI62" s="405"/>
      <c r="BJ62" s="405"/>
      <c r="BK62" s="405"/>
      <c r="BL62" s="405"/>
      <c r="BM62" s="405"/>
      <c r="BN62" s="405"/>
      <c r="BO62" s="405"/>
      <c r="BP62" s="405"/>
      <c r="BQ62" s="405"/>
      <c r="BR62" s="405"/>
      <c r="BS62" s="405"/>
      <c r="BT62" s="405"/>
      <c r="BU62" s="405"/>
      <c r="BV62" s="405"/>
      <c r="BW62" s="405"/>
      <c r="BX62" s="405"/>
      <c r="BY62" s="405"/>
      <c r="BZ62" s="405"/>
      <c r="CA62" s="405"/>
      <c r="CB62" s="405"/>
      <c r="CC62" s="405"/>
      <c r="CD62" s="405"/>
      <c r="CE62" s="405"/>
      <c r="CF62" s="405"/>
      <c r="CG62" s="405"/>
      <c r="CH62" s="405"/>
      <c r="CI62" s="405"/>
      <c r="CJ62" s="405"/>
      <c r="CK62" s="405"/>
      <c r="CL62" s="405"/>
      <c r="CM62" s="405"/>
      <c r="CN62" s="405"/>
      <c r="CO62" s="405"/>
      <c r="CP62" s="405"/>
      <c r="CQ62" s="405"/>
      <c r="CR62" s="405"/>
      <c r="CS62" s="405"/>
      <c r="CT62" s="405"/>
      <c r="CU62" s="405"/>
      <c r="CV62" s="405"/>
      <c r="CW62" s="405"/>
      <c r="CX62" s="405"/>
      <c r="CY62" s="405"/>
      <c r="CZ62" s="405"/>
      <c r="DA62" s="405"/>
      <c r="DB62" s="405"/>
      <c r="DC62" s="405"/>
      <c r="DD62" s="405"/>
      <c r="DE62" s="405"/>
      <c r="DF62" s="405"/>
      <c r="DG62" s="405"/>
      <c r="DH62" s="405"/>
      <c r="DI62" s="405"/>
      <c r="DJ62" s="405"/>
      <c r="DK62" s="405"/>
      <c r="DL62" s="405"/>
      <c r="DM62" s="405"/>
      <c r="DN62" s="405"/>
      <c r="DO62" s="405"/>
      <c r="DP62" s="405"/>
      <c r="DQ62" s="405"/>
      <c r="DR62" s="405"/>
      <c r="DS62" s="405"/>
      <c r="DT62" s="405"/>
      <c r="DU62" s="405"/>
      <c r="DV62" s="405"/>
      <c r="DW62" s="405"/>
      <c r="DX62" s="405"/>
      <c r="DY62" s="405"/>
      <c r="DZ62" s="405"/>
      <c r="EA62" s="405"/>
      <c r="EB62" s="405"/>
      <c r="EC62" s="405"/>
      <c r="ED62" s="405"/>
      <c r="EE62" s="405"/>
      <c r="EF62" s="405"/>
      <c r="EG62" s="405"/>
      <c r="EH62" s="405"/>
      <c r="EI62" s="405"/>
      <c r="EJ62" s="405"/>
      <c r="EK62" s="405"/>
      <c r="EL62" s="405"/>
      <c r="EM62" s="405"/>
      <c r="EN62" s="405"/>
    </row>
    <row r="63" spans="2:144" ht="15" customHeight="1" outlineLevel="1">
      <c r="B63" s="420" t="str">
        <f>VLOOKUP("Input_2_Vehicle_Time",Hidden_Translations!$B$11:$J$1184,Hidden_Translations!$C$8,FALSE)</f>
        <v>Travel time</v>
      </c>
      <c r="C63" s="359">
        <v>0</v>
      </c>
      <c r="D63" s="359">
        <v>0</v>
      </c>
      <c r="E63" s="359">
        <v>0</v>
      </c>
      <c r="F63" s="359">
        <v>0</v>
      </c>
      <c r="G63" s="359">
        <v>0</v>
      </c>
      <c r="H63" s="420" t="str">
        <f>VLOOKUP("Units_h",Hidden_Translations!$B$11:$J$1184,Hidden_Translations!$C$8,FALSE)</f>
        <v>[h]</v>
      </c>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405"/>
      <c r="BD63" s="405"/>
      <c r="BE63" s="405"/>
      <c r="BF63" s="405"/>
      <c r="BG63" s="405"/>
      <c r="BH63" s="405"/>
      <c r="BI63" s="405"/>
      <c r="BJ63" s="405"/>
      <c r="BK63" s="405"/>
      <c r="BL63" s="405"/>
      <c r="BM63" s="405"/>
      <c r="BN63" s="405"/>
      <c r="BO63" s="405"/>
      <c r="BP63" s="405"/>
      <c r="BQ63" s="405"/>
      <c r="BR63" s="405"/>
      <c r="BS63" s="405"/>
      <c r="BT63" s="405"/>
      <c r="BU63" s="405"/>
      <c r="BV63" s="405"/>
      <c r="BW63" s="405"/>
      <c r="BX63" s="405"/>
      <c r="BY63" s="405"/>
      <c r="BZ63" s="405"/>
      <c r="CA63" s="405"/>
      <c r="CB63" s="405"/>
      <c r="CC63" s="405"/>
      <c r="CD63" s="405"/>
      <c r="CE63" s="405"/>
      <c r="CF63" s="405"/>
      <c r="CG63" s="405"/>
      <c r="CH63" s="405"/>
      <c r="CI63" s="405"/>
      <c r="CJ63" s="405"/>
      <c r="CK63" s="405"/>
      <c r="CL63" s="405"/>
      <c r="CM63" s="405"/>
      <c r="CN63" s="405"/>
      <c r="CO63" s="405"/>
      <c r="CP63" s="405"/>
      <c r="CQ63" s="405"/>
      <c r="CR63" s="405"/>
      <c r="CS63" s="405"/>
      <c r="CT63" s="405"/>
      <c r="CU63" s="405"/>
      <c r="CV63" s="405"/>
      <c r="CW63" s="405"/>
      <c r="CX63" s="405"/>
      <c r="CY63" s="405"/>
      <c r="CZ63" s="405"/>
      <c r="DA63" s="405"/>
      <c r="DB63" s="405"/>
      <c r="DC63" s="405"/>
      <c r="DD63" s="405"/>
      <c r="DE63" s="405"/>
      <c r="DF63" s="405"/>
      <c r="DG63" s="405"/>
      <c r="DH63" s="405"/>
      <c r="DI63" s="405"/>
      <c r="DJ63" s="405"/>
      <c r="DK63" s="405"/>
      <c r="DL63" s="405"/>
      <c r="DM63" s="405"/>
      <c r="DN63" s="405"/>
      <c r="DO63" s="405"/>
      <c r="DP63" s="405"/>
      <c r="DQ63" s="405"/>
      <c r="DR63" s="405"/>
      <c r="DS63" s="405"/>
      <c r="DT63" s="405"/>
      <c r="DU63" s="405"/>
      <c r="DV63" s="405"/>
      <c r="DW63" s="405"/>
      <c r="DX63" s="405"/>
      <c r="DY63" s="405"/>
      <c r="DZ63" s="405"/>
      <c r="EA63" s="405"/>
      <c r="EB63" s="405"/>
      <c r="EC63" s="405"/>
      <c r="ED63" s="405"/>
      <c r="EE63" s="405"/>
      <c r="EF63" s="405"/>
      <c r="EG63" s="405"/>
      <c r="EH63" s="405"/>
      <c r="EI63" s="405"/>
      <c r="EJ63" s="405"/>
      <c r="EK63" s="405"/>
      <c r="EL63" s="405"/>
      <c r="EM63" s="405"/>
      <c r="EN63" s="405"/>
    </row>
    <row r="64" spans="2:144" ht="15" customHeight="1" outlineLevel="1">
      <c r="B64" s="420" t="str">
        <f>VLOOKUP("Input_2_Vehicle_Amount",Hidden_Translations!$B$11:$J$1184,Hidden_Translations!$C$8,FALSE)</f>
        <v>Amount of transported raw material</v>
      </c>
      <c r="C64" s="359">
        <v>0</v>
      </c>
      <c r="D64" s="359">
        <v>0</v>
      </c>
      <c r="E64" s="359">
        <v>0</v>
      </c>
      <c r="F64" s="359">
        <v>0</v>
      </c>
      <c r="G64" s="454">
        <f>SUM(F47:F48)-SUM(C64:F64)</f>
        <v>0</v>
      </c>
      <c r="H64" s="420" t="str">
        <f>VLOOKUP("Units_kg",Hidden_Translations!$B$11:$J$1184,Hidden_Translations!$C$8,FALSE)</f>
        <v>[kg]</v>
      </c>
      <c r="J64" s="403"/>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5"/>
      <c r="AY64" s="405"/>
      <c r="AZ64" s="405"/>
      <c r="BA64" s="405"/>
      <c r="BB64" s="405"/>
      <c r="BC64" s="405"/>
      <c r="BD64" s="405"/>
      <c r="BE64" s="405"/>
      <c r="BF64" s="405"/>
      <c r="BG64" s="405"/>
      <c r="BH64" s="405"/>
      <c r="BI64" s="405"/>
      <c r="BJ64" s="405"/>
      <c r="BK64" s="405"/>
      <c r="BL64" s="405"/>
      <c r="BM64" s="405"/>
      <c r="BN64" s="405"/>
      <c r="BO64" s="405"/>
      <c r="BP64" s="405"/>
      <c r="BQ64" s="405"/>
      <c r="BR64" s="405"/>
      <c r="BS64" s="405"/>
      <c r="BT64" s="405"/>
      <c r="BU64" s="405"/>
      <c r="BV64" s="405"/>
      <c r="BW64" s="405"/>
      <c r="BX64" s="405"/>
      <c r="BY64" s="405"/>
      <c r="BZ64" s="405"/>
      <c r="CA64" s="405"/>
      <c r="CB64" s="405"/>
      <c r="CC64" s="405"/>
      <c r="CD64" s="405"/>
      <c r="CE64" s="405"/>
      <c r="CF64" s="405"/>
      <c r="CG64" s="405"/>
      <c r="CH64" s="405"/>
      <c r="CI64" s="405"/>
      <c r="CJ64" s="405"/>
      <c r="CK64" s="405"/>
      <c r="CL64" s="405"/>
      <c r="CM64" s="405"/>
      <c r="CN64" s="405"/>
      <c r="CO64" s="405"/>
      <c r="CP64" s="405"/>
      <c r="CQ64" s="405"/>
      <c r="CR64" s="405"/>
      <c r="CS64" s="405"/>
      <c r="CT64" s="405"/>
      <c r="CU64" s="405"/>
      <c r="CV64" s="405"/>
      <c r="CW64" s="405"/>
      <c r="CX64" s="405"/>
      <c r="CY64" s="405"/>
      <c r="CZ64" s="405"/>
      <c r="DA64" s="405"/>
      <c r="DB64" s="405"/>
      <c r="DC64" s="405"/>
      <c r="DD64" s="405"/>
      <c r="DE64" s="405"/>
      <c r="DF64" s="405"/>
      <c r="DG64" s="405"/>
      <c r="DH64" s="405"/>
      <c r="DI64" s="405"/>
      <c r="DJ64" s="405"/>
      <c r="DK64" s="405"/>
      <c r="DL64" s="405"/>
      <c r="DM64" s="405"/>
      <c r="DN64" s="405"/>
      <c r="DO64" s="405"/>
      <c r="DP64" s="405"/>
      <c r="DQ64" s="405"/>
      <c r="DR64" s="405"/>
      <c r="DS64" s="405"/>
      <c r="DT64" s="405"/>
      <c r="DU64" s="405"/>
      <c r="DV64" s="405"/>
      <c r="DW64" s="405"/>
      <c r="DX64" s="405"/>
      <c r="DY64" s="405"/>
      <c r="DZ64" s="405"/>
      <c r="EA64" s="405"/>
      <c r="EB64" s="405"/>
      <c r="EC64" s="405"/>
      <c r="ED64" s="405"/>
      <c r="EE64" s="405"/>
      <c r="EF64" s="405"/>
      <c r="EG64" s="405"/>
      <c r="EH64" s="405"/>
      <c r="EI64" s="405"/>
      <c r="EJ64" s="405"/>
      <c r="EK64" s="405"/>
      <c r="EL64" s="405"/>
      <c r="EM64" s="405"/>
      <c r="EN64" s="405"/>
    </row>
    <row r="65" spans="1:144" ht="15" customHeight="1" outlineLevel="1">
      <c r="H65" s="76"/>
      <c r="J65" s="403"/>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5"/>
      <c r="AY65" s="405"/>
      <c r="AZ65" s="405"/>
      <c r="BA65" s="405"/>
      <c r="BB65" s="405"/>
      <c r="BC65" s="405"/>
      <c r="BD65" s="405"/>
      <c r="BE65" s="405"/>
      <c r="BF65" s="405"/>
      <c r="BG65" s="405"/>
      <c r="BH65" s="405"/>
      <c r="BI65" s="405"/>
      <c r="BJ65" s="405"/>
      <c r="BK65" s="405"/>
      <c r="BL65" s="405"/>
      <c r="BM65" s="405"/>
      <c r="BN65" s="405"/>
      <c r="BO65" s="405"/>
      <c r="BP65" s="405"/>
      <c r="BQ65" s="405"/>
      <c r="BR65" s="405"/>
      <c r="BS65" s="405"/>
      <c r="BT65" s="405"/>
      <c r="BU65" s="405"/>
      <c r="BV65" s="405"/>
      <c r="BW65" s="405"/>
      <c r="BX65" s="405"/>
      <c r="BY65" s="405"/>
      <c r="BZ65" s="405"/>
      <c r="CA65" s="405"/>
      <c r="CB65" s="405"/>
      <c r="CC65" s="405"/>
      <c r="CD65" s="405"/>
      <c r="CE65" s="405"/>
      <c r="CF65" s="405"/>
      <c r="CG65" s="405"/>
      <c r="CH65" s="405"/>
      <c r="CI65" s="405"/>
      <c r="CJ65" s="405"/>
      <c r="CK65" s="405"/>
      <c r="CL65" s="405"/>
      <c r="CM65" s="405"/>
      <c r="CN65" s="405"/>
      <c r="CO65" s="405"/>
      <c r="CP65" s="405"/>
      <c r="CQ65" s="405"/>
      <c r="CR65" s="405"/>
      <c r="CS65" s="405"/>
      <c r="CT65" s="405"/>
      <c r="CU65" s="405"/>
      <c r="CV65" s="405"/>
      <c r="CW65" s="405"/>
      <c r="CX65" s="405"/>
      <c r="CY65" s="405"/>
      <c r="CZ65" s="405"/>
      <c r="DA65" s="405"/>
      <c r="DB65" s="405"/>
      <c r="DC65" s="405"/>
      <c r="DD65" s="405"/>
      <c r="DE65" s="405"/>
      <c r="DF65" s="405"/>
      <c r="DG65" s="405"/>
      <c r="DH65" s="405"/>
      <c r="DI65" s="405"/>
      <c r="DJ65" s="405"/>
      <c r="DK65" s="405"/>
      <c r="DL65" s="405"/>
      <c r="DM65" s="405"/>
      <c r="DN65" s="405"/>
      <c r="DO65" s="405"/>
      <c r="DP65" s="405"/>
      <c r="DQ65" s="405"/>
      <c r="DR65" s="405"/>
      <c r="DS65" s="405"/>
      <c r="DT65" s="405"/>
      <c r="DU65" s="405"/>
      <c r="DV65" s="405"/>
      <c r="DW65" s="405"/>
      <c r="DX65" s="405"/>
      <c r="DY65" s="405"/>
      <c r="DZ65" s="405"/>
      <c r="EA65" s="405"/>
      <c r="EB65" s="405"/>
      <c r="EC65" s="405"/>
      <c r="ED65" s="405"/>
      <c r="EE65" s="405"/>
      <c r="EF65" s="405"/>
      <c r="EG65" s="405"/>
      <c r="EH65" s="405"/>
      <c r="EI65" s="405"/>
      <c r="EJ65" s="405"/>
      <c r="EK65" s="405"/>
      <c r="EL65" s="405"/>
      <c r="EM65" s="405"/>
      <c r="EN65" s="405"/>
    </row>
    <row r="66" spans="1:144" ht="15" customHeight="1" outlineLevel="1">
      <c r="B66" s="440" t="str">
        <f>VLOOKUP("Input_2_Refrigeration_Header",Hidden_Translations!$B$11:$J$1184,Hidden_Translations!$C$8,FALSE)</f>
        <v>Refrigeration</v>
      </c>
      <c r="C66" s="440"/>
      <c r="D66" s="440"/>
      <c r="E66" s="440"/>
      <c r="F66" s="440"/>
      <c r="G66" s="440"/>
      <c r="H66" s="440"/>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5"/>
      <c r="AY66" s="405"/>
      <c r="AZ66" s="405"/>
      <c r="BA66" s="405"/>
      <c r="BB66" s="405"/>
      <c r="BC66" s="405"/>
      <c r="BD66" s="405"/>
      <c r="BE66" s="405"/>
      <c r="BF66" s="405"/>
      <c r="BG66" s="405"/>
      <c r="BH66" s="405"/>
      <c r="BI66" s="405"/>
      <c r="BJ66" s="405"/>
      <c r="BK66" s="405"/>
      <c r="BL66" s="405"/>
      <c r="BM66" s="405"/>
      <c r="BN66" s="405"/>
      <c r="BO66" s="405"/>
      <c r="BP66" s="405"/>
      <c r="BQ66" s="405"/>
      <c r="BR66" s="405"/>
      <c r="BS66" s="405"/>
      <c r="BT66" s="405"/>
      <c r="BU66" s="405"/>
      <c r="BV66" s="405"/>
      <c r="BW66" s="405"/>
      <c r="BX66" s="405"/>
      <c r="BY66" s="405"/>
      <c r="BZ66" s="405"/>
      <c r="CA66" s="405"/>
      <c r="CB66" s="405"/>
      <c r="CC66" s="405"/>
      <c r="CD66" s="405"/>
      <c r="CE66" s="405"/>
      <c r="CF66" s="405"/>
      <c r="CG66" s="405"/>
      <c r="CH66" s="405"/>
      <c r="CI66" s="405"/>
      <c r="CJ66" s="405"/>
      <c r="CK66" s="405"/>
      <c r="CL66" s="405"/>
      <c r="CM66" s="405"/>
      <c r="CN66" s="405"/>
      <c r="CO66" s="405"/>
      <c r="CP66" s="405"/>
      <c r="CQ66" s="405"/>
      <c r="CR66" s="405"/>
      <c r="CS66" s="405"/>
      <c r="CT66" s="405"/>
      <c r="CU66" s="405"/>
      <c r="CV66" s="405"/>
      <c r="CW66" s="405"/>
      <c r="CX66" s="405"/>
      <c r="CY66" s="405"/>
      <c r="CZ66" s="405"/>
      <c r="DA66" s="405"/>
      <c r="DB66" s="405"/>
      <c r="DC66" s="405"/>
      <c r="DD66" s="405"/>
      <c r="DE66" s="405"/>
      <c r="DF66" s="405"/>
      <c r="DG66" s="405"/>
      <c r="DH66" s="405"/>
      <c r="DI66" s="405"/>
      <c r="DJ66" s="405"/>
      <c r="DK66" s="405"/>
      <c r="DL66" s="405"/>
      <c r="DM66" s="405"/>
      <c r="DN66" s="405"/>
      <c r="DO66" s="405"/>
      <c r="DP66" s="405"/>
      <c r="DQ66" s="405"/>
      <c r="DR66" s="405"/>
      <c r="DS66" s="405"/>
      <c r="DT66" s="405"/>
      <c r="DU66" s="405"/>
      <c r="DV66" s="405"/>
      <c r="DW66" s="405"/>
      <c r="DX66" s="405"/>
      <c r="DY66" s="405"/>
      <c r="DZ66" s="405"/>
      <c r="EA66" s="405"/>
      <c r="EB66" s="405"/>
      <c r="EC66" s="405"/>
      <c r="ED66" s="405"/>
      <c r="EE66" s="405"/>
      <c r="EF66" s="405"/>
      <c r="EG66" s="405"/>
      <c r="EH66" s="405"/>
      <c r="EI66" s="405"/>
      <c r="EJ66" s="405"/>
      <c r="EK66" s="405"/>
      <c r="EL66" s="405"/>
      <c r="EM66" s="405"/>
      <c r="EN66" s="405"/>
    </row>
    <row r="67" spans="1:144" ht="15" customHeight="1" outlineLevel="1">
      <c r="B67" s="455"/>
      <c r="H67" s="76"/>
      <c r="J67" s="403"/>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5"/>
      <c r="AY67" s="405"/>
      <c r="AZ67" s="405"/>
      <c r="BA67" s="405"/>
      <c r="BB67" s="405"/>
      <c r="BC67" s="405"/>
      <c r="BD67" s="405"/>
      <c r="BE67" s="405"/>
      <c r="BF67" s="405"/>
      <c r="BG67" s="405"/>
      <c r="BH67" s="405"/>
      <c r="BI67" s="405"/>
      <c r="BJ67" s="405"/>
      <c r="BK67" s="405"/>
      <c r="BL67" s="405"/>
      <c r="BM67" s="405"/>
      <c r="BN67" s="405"/>
      <c r="BO67" s="405"/>
      <c r="BP67" s="405"/>
      <c r="BQ67" s="405"/>
      <c r="BR67" s="405"/>
      <c r="BS67" s="405"/>
      <c r="BT67" s="405"/>
      <c r="BU67" s="405"/>
      <c r="BV67" s="405"/>
      <c r="BW67" s="405"/>
      <c r="BX67" s="405"/>
      <c r="BY67" s="405"/>
      <c r="BZ67" s="405"/>
      <c r="CA67" s="405"/>
      <c r="CB67" s="405"/>
      <c r="CC67" s="405"/>
      <c r="CD67" s="405"/>
      <c r="CE67" s="405"/>
      <c r="CF67" s="405"/>
      <c r="CG67" s="405"/>
      <c r="CH67" s="405"/>
      <c r="CI67" s="405"/>
      <c r="CJ67" s="405"/>
      <c r="CK67" s="405"/>
      <c r="CL67" s="405"/>
      <c r="CM67" s="405"/>
      <c r="CN67" s="405"/>
      <c r="CO67" s="405"/>
      <c r="CP67" s="405"/>
      <c r="CQ67" s="405"/>
      <c r="CR67" s="405"/>
      <c r="CS67" s="405"/>
      <c r="CT67" s="405"/>
      <c r="CU67" s="405"/>
      <c r="CV67" s="405"/>
      <c r="CW67" s="405"/>
      <c r="CX67" s="405"/>
      <c r="CY67" s="405"/>
      <c r="CZ67" s="405"/>
      <c r="DA67" s="405"/>
      <c r="DB67" s="405"/>
      <c r="DC67" s="405"/>
      <c r="DD67" s="405"/>
      <c r="DE67" s="405"/>
      <c r="DF67" s="405"/>
      <c r="DG67" s="405"/>
      <c r="DH67" s="405"/>
      <c r="DI67" s="405"/>
      <c r="DJ67" s="405"/>
      <c r="DK67" s="405"/>
      <c r="DL67" s="405"/>
      <c r="DM67" s="405"/>
      <c r="DN67" s="405"/>
      <c r="DO67" s="405"/>
      <c r="DP67" s="405"/>
      <c r="DQ67" s="405"/>
      <c r="DR67" s="405"/>
      <c r="DS67" s="405"/>
      <c r="DT67" s="405"/>
      <c r="DU67" s="405"/>
      <c r="DV67" s="405"/>
      <c r="DW67" s="405"/>
      <c r="DX67" s="405"/>
      <c r="DY67" s="405"/>
      <c r="DZ67" s="405"/>
      <c r="EA67" s="405"/>
      <c r="EB67" s="405"/>
      <c r="EC67" s="405"/>
      <c r="ED67" s="405"/>
      <c r="EE67" s="405"/>
      <c r="EF67" s="405"/>
      <c r="EG67" s="405"/>
      <c r="EH67" s="405"/>
      <c r="EI67" s="405"/>
      <c r="EJ67" s="405"/>
      <c r="EK67" s="405"/>
      <c r="EL67" s="405"/>
      <c r="EM67" s="405"/>
      <c r="EN67" s="405"/>
    </row>
    <row r="68" spans="1:144" ht="45" customHeight="1" outlineLevel="1">
      <c r="B68" s="489" t="str">
        <f>VLOOKUP("Input_2_Refrigeration_Header_Text",Hidden_Translations!$B$11:$J$1184,Hidden_Translations!$C$8,FALSE)</f>
        <v>This section is only required if auxiliary units are used on the transport vehicles. Otherwise, it can be skipped. The electricial power refers to any demand of independent units for refrigeration and ventilation. The annual refrigeration precharge refers to the total amount of refrigerant precharged per vehicle at the beginning of an operation year, i.e. it corresponds to the losses of refrigerant per year</v>
      </c>
      <c r="C68" s="490"/>
      <c r="D68" s="490"/>
      <c r="E68" s="490"/>
      <c r="F68" s="490"/>
      <c r="G68" s="490"/>
      <c r="H68" s="490"/>
      <c r="J68" s="403"/>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c r="AS68" s="405"/>
      <c r="AT68" s="405"/>
      <c r="AU68" s="405"/>
      <c r="AV68" s="405"/>
      <c r="AW68" s="405"/>
      <c r="AX68" s="405"/>
      <c r="AY68" s="405"/>
      <c r="AZ68" s="405"/>
      <c r="BA68" s="405"/>
      <c r="BB68" s="405"/>
      <c r="BC68" s="405"/>
      <c r="BD68" s="405"/>
      <c r="BE68" s="405"/>
      <c r="BF68" s="405"/>
      <c r="BG68" s="405"/>
      <c r="BH68" s="405"/>
      <c r="BI68" s="405"/>
      <c r="BJ68" s="405"/>
      <c r="BK68" s="405"/>
      <c r="BL68" s="405"/>
      <c r="BM68" s="405"/>
      <c r="BN68" s="405"/>
      <c r="BO68" s="405"/>
      <c r="BP68" s="405"/>
      <c r="BQ68" s="405"/>
      <c r="BR68" s="405"/>
      <c r="BS68" s="405"/>
      <c r="BT68" s="405"/>
      <c r="BU68" s="405"/>
      <c r="BV68" s="405"/>
      <c r="BW68" s="405"/>
      <c r="BX68" s="405"/>
      <c r="BY68" s="405"/>
      <c r="BZ68" s="405"/>
      <c r="CA68" s="405"/>
      <c r="CB68" s="405"/>
      <c r="CC68" s="405"/>
      <c r="CD68" s="405"/>
      <c r="CE68" s="405"/>
      <c r="CF68" s="405"/>
      <c r="CG68" s="405"/>
      <c r="CH68" s="405"/>
      <c r="CI68" s="405"/>
      <c r="CJ68" s="405"/>
      <c r="CK68" s="405"/>
      <c r="CL68" s="405"/>
      <c r="CM68" s="405"/>
      <c r="CN68" s="405"/>
      <c r="CO68" s="405"/>
      <c r="CP68" s="405"/>
      <c r="CQ68" s="405"/>
      <c r="CR68" s="405"/>
      <c r="CS68" s="405"/>
      <c r="CT68" s="405"/>
      <c r="CU68" s="405"/>
      <c r="CV68" s="405"/>
      <c r="CW68" s="405"/>
      <c r="CX68" s="405"/>
      <c r="CY68" s="405"/>
      <c r="CZ68" s="405"/>
      <c r="DA68" s="405"/>
      <c r="DB68" s="405"/>
      <c r="DC68" s="405"/>
      <c r="DD68" s="405"/>
      <c r="DE68" s="405"/>
      <c r="DF68" s="405"/>
      <c r="DG68" s="405"/>
      <c r="DH68" s="405"/>
      <c r="DI68" s="405"/>
      <c r="DJ68" s="405"/>
      <c r="DK68" s="405"/>
      <c r="DL68" s="405"/>
      <c r="DM68" s="405"/>
      <c r="DN68" s="405"/>
      <c r="DO68" s="405"/>
      <c r="DP68" s="405"/>
      <c r="DQ68" s="405"/>
      <c r="DR68" s="405"/>
      <c r="DS68" s="405"/>
      <c r="DT68" s="405"/>
      <c r="DU68" s="405"/>
      <c r="DV68" s="405"/>
      <c r="DW68" s="405"/>
      <c r="DX68" s="405"/>
      <c r="DY68" s="405"/>
      <c r="DZ68" s="405"/>
      <c r="EA68" s="405"/>
      <c r="EB68" s="405"/>
      <c r="EC68" s="405"/>
      <c r="ED68" s="405"/>
      <c r="EE68" s="405"/>
      <c r="EF68" s="405"/>
      <c r="EG68" s="405"/>
      <c r="EH68" s="405"/>
      <c r="EI68" s="405"/>
      <c r="EJ68" s="405"/>
      <c r="EK68" s="405"/>
      <c r="EL68" s="405"/>
      <c r="EM68" s="405"/>
      <c r="EN68" s="405"/>
    </row>
    <row r="69" spans="1:144" ht="15" customHeight="1" outlineLevel="1">
      <c r="H69" s="76"/>
      <c r="J69" s="403"/>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405"/>
      <c r="AR69" s="405"/>
      <c r="AS69" s="405"/>
      <c r="AT69" s="405"/>
      <c r="AU69" s="405"/>
      <c r="AV69" s="405"/>
      <c r="AW69" s="405"/>
      <c r="AX69" s="405"/>
      <c r="AY69" s="405"/>
      <c r="AZ69" s="405"/>
      <c r="BA69" s="405"/>
      <c r="BB69" s="405"/>
      <c r="BC69" s="405"/>
      <c r="BD69" s="405"/>
      <c r="BE69" s="405"/>
      <c r="BF69" s="405"/>
      <c r="BG69" s="405"/>
      <c r="BH69" s="405"/>
      <c r="BI69" s="405"/>
      <c r="BJ69" s="405"/>
      <c r="BK69" s="405"/>
      <c r="BL69" s="405"/>
      <c r="BM69" s="405"/>
      <c r="BN69" s="405"/>
      <c r="BO69" s="405"/>
      <c r="BP69" s="405"/>
      <c r="BQ69" s="405"/>
      <c r="BR69" s="405"/>
      <c r="BS69" s="405"/>
      <c r="BT69" s="405"/>
      <c r="BU69" s="405"/>
      <c r="BV69" s="405"/>
      <c r="BW69" s="405"/>
      <c r="BX69" s="405"/>
      <c r="BY69" s="405"/>
      <c r="BZ69" s="405"/>
      <c r="CA69" s="405"/>
      <c r="CB69" s="405"/>
      <c r="CC69" s="405"/>
      <c r="CD69" s="405"/>
      <c r="CE69" s="405"/>
      <c r="CF69" s="405"/>
      <c r="CG69" s="405"/>
      <c r="CH69" s="405"/>
      <c r="CI69" s="405"/>
      <c r="CJ69" s="405"/>
      <c r="CK69" s="405"/>
      <c r="CL69" s="405"/>
      <c r="CM69" s="405"/>
      <c r="CN69" s="405"/>
      <c r="CO69" s="405"/>
      <c r="CP69" s="405"/>
      <c r="CQ69" s="405"/>
      <c r="CR69" s="405"/>
      <c r="CS69" s="405"/>
      <c r="CT69" s="405"/>
      <c r="CU69" s="405"/>
      <c r="CV69" s="405"/>
      <c r="CW69" s="405"/>
      <c r="CX69" s="405"/>
      <c r="CY69" s="405"/>
      <c r="CZ69" s="405"/>
      <c r="DA69" s="405"/>
      <c r="DB69" s="405"/>
      <c r="DC69" s="405"/>
      <c r="DD69" s="405"/>
      <c r="DE69" s="405"/>
      <c r="DF69" s="405"/>
      <c r="DG69" s="405"/>
      <c r="DH69" s="405"/>
      <c r="DI69" s="405"/>
      <c r="DJ69" s="405"/>
      <c r="DK69" s="405"/>
      <c r="DL69" s="405"/>
      <c r="DM69" s="405"/>
      <c r="DN69" s="405"/>
      <c r="DO69" s="405"/>
      <c r="DP69" s="405"/>
      <c r="DQ69" s="405"/>
      <c r="DR69" s="405"/>
      <c r="DS69" s="405"/>
      <c r="DT69" s="405"/>
      <c r="DU69" s="405"/>
      <c r="DV69" s="405"/>
      <c r="DW69" s="405"/>
      <c r="DX69" s="405"/>
      <c r="DY69" s="405"/>
      <c r="DZ69" s="405"/>
      <c r="EA69" s="405"/>
      <c r="EB69" s="405"/>
      <c r="EC69" s="405"/>
      <c r="ED69" s="405"/>
      <c r="EE69" s="405"/>
      <c r="EF69" s="405"/>
      <c r="EG69" s="405"/>
      <c r="EH69" s="405"/>
      <c r="EI69" s="405"/>
      <c r="EJ69" s="405"/>
      <c r="EK69" s="405"/>
      <c r="EL69" s="405"/>
      <c r="EM69" s="405"/>
      <c r="EN69" s="405"/>
    </row>
    <row r="70" spans="1:144" ht="15" customHeight="1" outlineLevel="1">
      <c r="C70" s="456" t="str">
        <f>C60</f>
        <v>Vehicle 1</v>
      </c>
      <c r="D70" s="456" t="str">
        <f>D60</f>
        <v>Vehicle 2</v>
      </c>
      <c r="E70" s="456" t="str">
        <f>E60</f>
        <v>Vehicle 3</v>
      </c>
      <c r="F70" s="456" t="str">
        <f>F60</f>
        <v>Vehicle 4</v>
      </c>
      <c r="G70" s="456" t="str">
        <f>G60</f>
        <v>Vehicle 5</v>
      </c>
      <c r="H70" s="76"/>
      <c r="J70" s="403"/>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5"/>
      <c r="AY70" s="405"/>
      <c r="AZ70" s="405"/>
      <c r="BA70" s="405"/>
      <c r="BB70" s="405"/>
      <c r="BC70" s="405"/>
      <c r="BD70" s="405"/>
      <c r="BE70" s="405"/>
      <c r="BF70" s="405"/>
      <c r="BG70" s="405"/>
      <c r="BH70" s="405"/>
      <c r="BI70" s="405"/>
      <c r="BJ70" s="405"/>
      <c r="BK70" s="405"/>
      <c r="BL70" s="405"/>
      <c r="BM70" s="405"/>
      <c r="BN70" s="405"/>
      <c r="BO70" s="405"/>
      <c r="BP70" s="405"/>
      <c r="BQ70" s="405"/>
      <c r="BR70" s="405"/>
      <c r="BS70" s="405"/>
      <c r="BT70" s="405"/>
      <c r="BU70" s="405"/>
      <c r="BV70" s="405"/>
      <c r="BW70" s="405"/>
      <c r="BX70" s="405"/>
      <c r="BY70" s="405"/>
      <c r="BZ70" s="405"/>
      <c r="CA70" s="405"/>
      <c r="CB70" s="405"/>
      <c r="CC70" s="405"/>
      <c r="CD70" s="405"/>
      <c r="CE70" s="405"/>
      <c r="CF70" s="405"/>
      <c r="CG70" s="405"/>
      <c r="CH70" s="405"/>
      <c r="CI70" s="405"/>
      <c r="CJ70" s="405"/>
      <c r="CK70" s="405"/>
      <c r="CL70" s="405"/>
      <c r="CM70" s="405"/>
      <c r="CN70" s="405"/>
      <c r="CO70" s="405"/>
      <c r="CP70" s="405"/>
      <c r="CQ70" s="405"/>
      <c r="CR70" s="405"/>
      <c r="CS70" s="405"/>
      <c r="CT70" s="405"/>
      <c r="CU70" s="405"/>
      <c r="CV70" s="405"/>
      <c r="CW70" s="405"/>
      <c r="CX70" s="405"/>
      <c r="CY70" s="405"/>
      <c r="CZ70" s="405"/>
      <c r="DA70" s="405"/>
      <c r="DB70" s="405"/>
      <c r="DC70" s="405"/>
      <c r="DD70" s="405"/>
      <c r="DE70" s="405"/>
      <c r="DF70" s="405"/>
      <c r="DG70" s="405"/>
      <c r="DH70" s="405"/>
      <c r="DI70" s="405"/>
      <c r="DJ70" s="405"/>
      <c r="DK70" s="405"/>
      <c r="DL70" s="405"/>
      <c r="DM70" s="405"/>
      <c r="DN70" s="405"/>
      <c r="DO70" s="405"/>
      <c r="DP70" s="405"/>
      <c r="DQ70" s="405"/>
      <c r="DR70" s="405"/>
      <c r="DS70" s="405"/>
      <c r="DT70" s="405"/>
      <c r="DU70" s="405"/>
      <c r="DV70" s="405"/>
      <c r="DW70" s="405"/>
      <c r="DX70" s="405"/>
      <c r="DY70" s="405"/>
      <c r="DZ70" s="405"/>
      <c r="EA70" s="405"/>
      <c r="EB70" s="405"/>
      <c r="EC70" s="405"/>
      <c r="ED70" s="405"/>
      <c r="EE70" s="405"/>
      <c r="EF70" s="405"/>
      <c r="EG70" s="405"/>
      <c r="EH70" s="405"/>
      <c r="EI70" s="405"/>
      <c r="EJ70" s="405"/>
      <c r="EK70" s="405"/>
      <c r="EL70" s="405"/>
      <c r="EM70" s="405"/>
      <c r="EN70" s="405"/>
    </row>
    <row r="71" spans="1:144" ht="15" customHeight="1" outlineLevel="1">
      <c r="B71" s="411" t="str">
        <f>VLOOKUP("Input_2_Refrigeration_Refrigerant",Hidden_Translations!$B$11:$J$1184,Hidden_Translations!$C$8,FALSE)</f>
        <v xml:space="preserve">Refrigerant </v>
      </c>
      <c r="C71" s="253" t="s">
        <v>249</v>
      </c>
      <c r="D71" s="253" t="s">
        <v>249</v>
      </c>
      <c r="E71" s="253" t="s">
        <v>249</v>
      </c>
      <c r="F71" s="253" t="s">
        <v>249</v>
      </c>
      <c r="G71" s="253" t="s">
        <v>249</v>
      </c>
      <c r="H71" s="411" t="str">
        <f>G22</f>
        <v>[Selection]</v>
      </c>
      <c r="J71" s="403"/>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c r="AS71" s="405"/>
      <c r="AT71" s="405"/>
      <c r="AU71" s="405"/>
      <c r="AV71" s="405"/>
      <c r="AW71" s="405"/>
      <c r="AX71" s="405"/>
      <c r="AY71" s="405"/>
      <c r="AZ71" s="405"/>
      <c r="BA71" s="405"/>
      <c r="BB71" s="405"/>
      <c r="BC71" s="405"/>
      <c r="BD71" s="405"/>
      <c r="BE71" s="405"/>
      <c r="BF71" s="405"/>
      <c r="BG71" s="405"/>
      <c r="BH71" s="405"/>
      <c r="BI71" s="405"/>
      <c r="BJ71" s="405"/>
      <c r="BK71" s="405"/>
      <c r="BL71" s="405"/>
      <c r="BM71" s="405"/>
      <c r="BN71" s="405"/>
      <c r="BO71" s="405"/>
      <c r="BP71" s="405"/>
      <c r="BQ71" s="405"/>
      <c r="BR71" s="405"/>
      <c r="BS71" s="405"/>
      <c r="BT71" s="405"/>
      <c r="BU71" s="405"/>
      <c r="BV71" s="405"/>
      <c r="BW71" s="405"/>
      <c r="BX71" s="405"/>
      <c r="BY71" s="405"/>
      <c r="BZ71" s="405"/>
      <c r="CA71" s="405"/>
      <c r="CB71" s="405"/>
      <c r="CC71" s="405"/>
      <c r="CD71" s="405"/>
      <c r="CE71" s="405"/>
      <c r="CF71" s="405"/>
      <c r="CG71" s="405"/>
      <c r="CH71" s="405"/>
      <c r="CI71" s="405"/>
      <c r="CJ71" s="405"/>
      <c r="CK71" s="405"/>
      <c r="CL71" s="405"/>
      <c r="CM71" s="405"/>
      <c r="CN71" s="405"/>
      <c r="CO71" s="405"/>
      <c r="CP71" s="405"/>
      <c r="CQ71" s="405"/>
      <c r="CR71" s="405"/>
      <c r="CS71" s="405"/>
      <c r="CT71" s="405"/>
      <c r="CU71" s="405"/>
      <c r="CV71" s="405"/>
      <c r="CW71" s="405"/>
      <c r="CX71" s="405"/>
      <c r="CY71" s="405"/>
      <c r="CZ71" s="405"/>
      <c r="DA71" s="405"/>
      <c r="DB71" s="405"/>
      <c r="DC71" s="405"/>
      <c r="DD71" s="405"/>
      <c r="DE71" s="405"/>
      <c r="DF71" s="405"/>
      <c r="DG71" s="405"/>
      <c r="DH71" s="405"/>
      <c r="DI71" s="405"/>
      <c r="DJ71" s="405"/>
      <c r="DK71" s="405"/>
      <c r="DL71" s="405"/>
      <c r="DM71" s="405"/>
      <c r="DN71" s="405"/>
      <c r="DO71" s="405"/>
      <c r="DP71" s="405"/>
      <c r="DQ71" s="405"/>
      <c r="DR71" s="405"/>
      <c r="DS71" s="405"/>
      <c r="DT71" s="405"/>
      <c r="DU71" s="405"/>
      <c r="DV71" s="405"/>
      <c r="DW71" s="405"/>
      <c r="DX71" s="405"/>
      <c r="DY71" s="405"/>
      <c r="DZ71" s="405"/>
      <c r="EA71" s="405"/>
      <c r="EB71" s="405"/>
      <c r="EC71" s="405"/>
      <c r="ED71" s="405"/>
      <c r="EE71" s="405"/>
      <c r="EF71" s="405"/>
      <c r="EG71" s="405"/>
      <c r="EH71" s="405"/>
      <c r="EI71" s="405"/>
      <c r="EJ71" s="405"/>
      <c r="EK71" s="405"/>
      <c r="EL71" s="405"/>
      <c r="EM71" s="405"/>
      <c r="EN71" s="405"/>
    </row>
    <row r="72" spans="1:144" ht="15" customHeight="1" outlineLevel="1">
      <c r="B72" s="420" t="str">
        <f>VLOOKUP("Input_2_Refrigeration_Precharge",Hidden_Translations!$B$11:$J$1184,Hidden_Translations!$C$8,FALSE)</f>
        <v>Annual initial refrigerant precharge</v>
      </c>
      <c r="C72" s="359">
        <v>0</v>
      </c>
      <c r="D72" s="359">
        <v>0</v>
      </c>
      <c r="E72" s="359">
        <v>0</v>
      </c>
      <c r="F72" s="359">
        <v>0</v>
      </c>
      <c r="G72" s="359">
        <v>0</v>
      </c>
      <c r="H72" s="411" t="str">
        <f>H64</f>
        <v>[kg]</v>
      </c>
      <c r="J72" s="403"/>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405"/>
      <c r="BB72" s="405"/>
      <c r="BC72" s="405"/>
      <c r="BD72" s="405"/>
      <c r="BE72" s="405"/>
      <c r="BF72" s="405"/>
      <c r="BG72" s="405"/>
      <c r="BH72" s="405"/>
      <c r="BI72" s="405"/>
      <c r="BJ72" s="405"/>
      <c r="BK72" s="405"/>
      <c r="BL72" s="405"/>
      <c r="BM72" s="405"/>
      <c r="BN72" s="405"/>
      <c r="BO72" s="405"/>
      <c r="BP72" s="405"/>
      <c r="BQ72" s="405"/>
      <c r="BR72" s="405"/>
      <c r="BS72" s="405"/>
      <c r="BT72" s="405"/>
      <c r="BU72" s="405"/>
      <c r="BV72" s="405"/>
      <c r="BW72" s="405"/>
      <c r="BX72" s="405"/>
      <c r="BY72" s="405"/>
      <c r="BZ72" s="405"/>
      <c r="CA72" s="405"/>
      <c r="CB72" s="405"/>
      <c r="CC72" s="405"/>
      <c r="CD72" s="405"/>
      <c r="CE72" s="405"/>
      <c r="CF72" s="405"/>
      <c r="CG72" s="405"/>
      <c r="CH72" s="405"/>
      <c r="CI72" s="405"/>
      <c r="CJ72" s="405"/>
      <c r="CK72" s="405"/>
      <c r="CL72" s="405"/>
      <c r="CM72" s="405"/>
      <c r="CN72" s="405"/>
      <c r="CO72" s="405"/>
      <c r="CP72" s="405"/>
      <c r="CQ72" s="405"/>
      <c r="CR72" s="405"/>
      <c r="CS72" s="405"/>
      <c r="CT72" s="405"/>
      <c r="CU72" s="405"/>
      <c r="CV72" s="405"/>
      <c r="CW72" s="405"/>
      <c r="CX72" s="405"/>
      <c r="CY72" s="405"/>
      <c r="CZ72" s="405"/>
      <c r="DA72" s="405"/>
      <c r="DB72" s="405"/>
      <c r="DC72" s="405"/>
      <c r="DD72" s="405"/>
      <c r="DE72" s="405"/>
      <c r="DF72" s="405"/>
      <c r="DG72" s="405"/>
      <c r="DH72" s="405"/>
      <c r="DI72" s="405"/>
      <c r="DJ72" s="405"/>
      <c r="DK72" s="405"/>
      <c r="DL72" s="405"/>
      <c r="DM72" s="405"/>
      <c r="DN72" s="405"/>
      <c r="DO72" s="405"/>
      <c r="DP72" s="405"/>
      <c r="DQ72" s="405"/>
      <c r="DR72" s="405"/>
      <c r="DS72" s="405"/>
      <c r="DT72" s="405"/>
      <c r="DU72" s="405"/>
      <c r="DV72" s="405"/>
      <c r="DW72" s="405"/>
      <c r="DX72" s="405"/>
      <c r="DY72" s="405"/>
      <c r="DZ72" s="405"/>
      <c r="EA72" s="405"/>
      <c r="EB72" s="405"/>
      <c r="EC72" s="405"/>
      <c r="ED72" s="405"/>
      <c r="EE72" s="405"/>
      <c r="EF72" s="405"/>
      <c r="EG72" s="405"/>
      <c r="EH72" s="405"/>
      <c r="EI72" s="405"/>
      <c r="EJ72" s="405"/>
      <c r="EK72" s="405"/>
      <c r="EL72" s="405"/>
      <c r="EM72" s="405"/>
      <c r="EN72" s="405"/>
    </row>
    <row r="73" spans="1:144" ht="15" customHeight="1" outlineLevel="1">
      <c r="B73" s="457" t="str">
        <f>VLOOKUP("Input_2_Refrigeration_Consumption",Hidden_Translations!$B$11:$J$1184,Hidden_Translations!$C$8,FALSE)</f>
        <v>Electrical consumption of auxiliary units</v>
      </c>
      <c r="C73" s="359">
        <v>0</v>
      </c>
      <c r="D73" s="359">
        <v>0</v>
      </c>
      <c r="E73" s="359">
        <v>0</v>
      </c>
      <c r="F73" s="359">
        <v>0</v>
      </c>
      <c r="G73" s="359">
        <v>0</v>
      </c>
      <c r="H73" s="420" t="str">
        <f>VLOOKUP("Units_kWh",Hidden_Translations!$B$11:$J$1184,Hidden_Translations!$C$8,FALSE)</f>
        <v>[kWh]</v>
      </c>
      <c r="J73" s="403"/>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5"/>
      <c r="AY73" s="405"/>
      <c r="AZ73" s="405"/>
      <c r="BA73" s="405"/>
      <c r="BB73" s="405"/>
      <c r="BC73" s="405"/>
      <c r="BD73" s="405"/>
      <c r="BE73" s="405"/>
      <c r="BF73" s="405"/>
      <c r="BG73" s="405"/>
      <c r="BH73" s="405"/>
      <c r="BI73" s="405"/>
      <c r="BJ73" s="405"/>
      <c r="BK73" s="405"/>
      <c r="BL73" s="405"/>
      <c r="BM73" s="405"/>
      <c r="BN73" s="405"/>
      <c r="BO73" s="405"/>
      <c r="BP73" s="405"/>
      <c r="BQ73" s="405"/>
      <c r="BR73" s="405"/>
      <c r="BS73" s="405"/>
      <c r="BT73" s="405"/>
      <c r="BU73" s="405"/>
      <c r="BV73" s="405"/>
      <c r="BW73" s="405"/>
      <c r="BX73" s="405"/>
      <c r="BY73" s="405"/>
      <c r="BZ73" s="405"/>
      <c r="CA73" s="405"/>
      <c r="CB73" s="405"/>
      <c r="CC73" s="405"/>
      <c r="CD73" s="405"/>
      <c r="CE73" s="405"/>
      <c r="CF73" s="405"/>
      <c r="CG73" s="405"/>
      <c r="CH73" s="405"/>
      <c r="CI73" s="405"/>
      <c r="CJ73" s="405"/>
      <c r="CK73" s="405"/>
      <c r="CL73" s="405"/>
      <c r="CM73" s="405"/>
      <c r="CN73" s="405"/>
      <c r="CO73" s="405"/>
      <c r="CP73" s="405"/>
      <c r="CQ73" s="405"/>
      <c r="CR73" s="405"/>
      <c r="CS73" s="405"/>
      <c r="CT73" s="405"/>
      <c r="CU73" s="405"/>
      <c r="CV73" s="405"/>
      <c r="CW73" s="405"/>
      <c r="CX73" s="405"/>
      <c r="CY73" s="405"/>
      <c r="CZ73" s="405"/>
      <c r="DA73" s="405"/>
      <c r="DB73" s="405"/>
      <c r="DC73" s="405"/>
      <c r="DD73" s="405"/>
      <c r="DE73" s="405"/>
      <c r="DF73" s="405"/>
      <c r="DG73" s="405"/>
      <c r="DH73" s="405"/>
      <c r="DI73" s="405"/>
      <c r="DJ73" s="405"/>
      <c r="DK73" s="405"/>
      <c r="DL73" s="405"/>
      <c r="DM73" s="405"/>
      <c r="DN73" s="405"/>
      <c r="DO73" s="405"/>
      <c r="DP73" s="405"/>
      <c r="DQ73" s="405"/>
      <c r="DR73" s="405"/>
      <c r="DS73" s="405"/>
      <c r="DT73" s="405"/>
      <c r="DU73" s="405"/>
      <c r="DV73" s="405"/>
      <c r="DW73" s="405"/>
      <c r="DX73" s="405"/>
      <c r="DY73" s="405"/>
      <c r="DZ73" s="405"/>
      <c r="EA73" s="405"/>
      <c r="EB73" s="405"/>
      <c r="EC73" s="405"/>
      <c r="ED73" s="405"/>
      <c r="EE73" s="405"/>
      <c r="EF73" s="405"/>
      <c r="EG73" s="405"/>
      <c r="EH73" s="405"/>
      <c r="EI73" s="405"/>
      <c r="EJ73" s="405"/>
      <c r="EK73" s="405"/>
      <c r="EL73" s="405"/>
      <c r="EM73" s="405"/>
      <c r="EN73" s="405"/>
    </row>
    <row r="74" spans="1:144" ht="15" customHeight="1" outlineLevel="1">
      <c r="B74" s="458"/>
      <c r="C74" s="458"/>
      <c r="D74" s="458"/>
      <c r="E74" s="458"/>
      <c r="F74" s="458"/>
      <c r="G74" s="88"/>
      <c r="H74" s="77"/>
      <c r="J74" s="403"/>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5"/>
      <c r="BO74" s="405"/>
      <c r="BP74" s="405"/>
      <c r="BQ74" s="405"/>
      <c r="BR74" s="405"/>
      <c r="BS74" s="405"/>
      <c r="BT74" s="405"/>
      <c r="BU74" s="405"/>
      <c r="BV74" s="405"/>
      <c r="BW74" s="405"/>
      <c r="BX74" s="405"/>
      <c r="BY74" s="405"/>
      <c r="BZ74" s="405"/>
      <c r="CA74" s="405"/>
      <c r="CB74" s="405"/>
      <c r="CC74" s="405"/>
      <c r="CD74" s="405"/>
      <c r="CE74" s="405"/>
      <c r="CF74" s="405"/>
      <c r="CG74" s="405"/>
      <c r="CH74" s="405"/>
      <c r="CI74" s="405"/>
      <c r="CJ74" s="405"/>
      <c r="CK74" s="405"/>
      <c r="CL74" s="405"/>
      <c r="CM74" s="405"/>
      <c r="CN74" s="405"/>
      <c r="CO74" s="405"/>
      <c r="CP74" s="405"/>
      <c r="CQ74" s="405"/>
      <c r="CR74" s="405"/>
      <c r="CS74" s="405"/>
      <c r="CT74" s="405"/>
      <c r="CU74" s="405"/>
      <c r="CV74" s="405"/>
      <c r="CW74" s="405"/>
      <c r="CX74" s="405"/>
      <c r="CY74" s="405"/>
      <c r="CZ74" s="405"/>
      <c r="DA74" s="405"/>
      <c r="DB74" s="405"/>
      <c r="DC74" s="405"/>
      <c r="DD74" s="405"/>
      <c r="DE74" s="405"/>
      <c r="DF74" s="405"/>
      <c r="DG74" s="405"/>
      <c r="DH74" s="405"/>
      <c r="DI74" s="405"/>
      <c r="DJ74" s="405"/>
      <c r="DK74" s="405"/>
      <c r="DL74" s="405"/>
      <c r="DM74" s="405"/>
      <c r="DN74" s="405"/>
      <c r="DO74" s="405"/>
      <c r="DP74" s="405"/>
      <c r="DQ74" s="405"/>
      <c r="DR74" s="405"/>
      <c r="DS74" s="405"/>
      <c r="DT74" s="405"/>
      <c r="DU74" s="405"/>
      <c r="DV74" s="405"/>
      <c r="DW74" s="405"/>
      <c r="DX74" s="405"/>
      <c r="DY74" s="405"/>
      <c r="DZ74" s="405"/>
      <c r="EA74" s="405"/>
      <c r="EB74" s="405"/>
      <c r="EC74" s="405"/>
      <c r="ED74" s="405"/>
      <c r="EE74" s="405"/>
      <c r="EF74" s="405"/>
      <c r="EG74" s="405"/>
      <c r="EH74" s="405"/>
      <c r="EI74" s="405"/>
      <c r="EJ74" s="405"/>
      <c r="EK74" s="405"/>
      <c r="EL74" s="405"/>
      <c r="EM74" s="405"/>
      <c r="EN74" s="405"/>
    </row>
    <row r="75" spans="1:144" ht="15" customHeight="1" outlineLevel="1">
      <c r="B75" s="420" t="str">
        <f>VLOOKUP("Input_2_Water",Hidden_Translations!$B$11:$J$1184,Hidden_Translations!$C$8,FALSE)</f>
        <v>Water consumption per year</v>
      </c>
      <c r="C75" s="420"/>
      <c r="D75" s="420"/>
      <c r="E75" s="420"/>
      <c r="F75" s="359">
        <v>0</v>
      </c>
      <c r="G75" s="420" t="str">
        <f>VLOOKUP("Units_m3",Hidden_Translations!$B$11:$J$1184,Hidden_Translations!$C$8,FALSE)</f>
        <v>[m³]</v>
      </c>
      <c r="H75" s="420"/>
      <c r="J75" s="403"/>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405"/>
      <c r="AW75" s="405"/>
      <c r="AX75" s="405"/>
      <c r="AY75" s="405"/>
      <c r="AZ75" s="405"/>
      <c r="BA75" s="405"/>
      <c r="BB75" s="405"/>
      <c r="BC75" s="405"/>
      <c r="BD75" s="405"/>
      <c r="BE75" s="405"/>
      <c r="BF75" s="405"/>
      <c r="BG75" s="405"/>
      <c r="BH75" s="405"/>
      <c r="BI75" s="405"/>
      <c r="BJ75" s="405"/>
      <c r="BK75" s="405"/>
      <c r="BL75" s="405"/>
      <c r="BM75" s="405"/>
      <c r="BN75" s="405"/>
      <c r="BO75" s="405"/>
      <c r="BP75" s="405"/>
      <c r="BQ75" s="405"/>
      <c r="BR75" s="405"/>
      <c r="BS75" s="405"/>
      <c r="BT75" s="405"/>
      <c r="BU75" s="405"/>
      <c r="BV75" s="405"/>
      <c r="BW75" s="405"/>
      <c r="BX75" s="405"/>
      <c r="BY75" s="405"/>
      <c r="BZ75" s="405"/>
      <c r="CA75" s="405"/>
      <c r="CB75" s="405"/>
      <c r="CC75" s="405"/>
      <c r="CD75" s="405"/>
      <c r="CE75" s="405"/>
      <c r="CF75" s="405"/>
      <c r="CG75" s="405"/>
      <c r="CH75" s="405"/>
      <c r="CI75" s="405"/>
      <c r="CJ75" s="405"/>
      <c r="CK75" s="405"/>
      <c r="CL75" s="405"/>
      <c r="CM75" s="405"/>
      <c r="CN75" s="405"/>
      <c r="CO75" s="405"/>
      <c r="CP75" s="405"/>
      <c r="CQ75" s="405"/>
      <c r="CR75" s="405"/>
      <c r="CS75" s="405"/>
      <c r="CT75" s="405"/>
      <c r="CU75" s="405"/>
      <c r="CV75" s="405"/>
      <c r="CW75" s="405"/>
      <c r="CX75" s="405"/>
      <c r="CY75" s="405"/>
      <c r="CZ75" s="405"/>
      <c r="DA75" s="405"/>
      <c r="DB75" s="405"/>
      <c r="DC75" s="405"/>
      <c r="DD75" s="405"/>
      <c r="DE75" s="405"/>
      <c r="DF75" s="405"/>
      <c r="DG75" s="405"/>
      <c r="DH75" s="405"/>
      <c r="DI75" s="405"/>
      <c r="DJ75" s="405"/>
      <c r="DK75" s="405"/>
      <c r="DL75" s="405"/>
      <c r="DM75" s="405"/>
      <c r="DN75" s="405"/>
      <c r="DO75" s="405"/>
      <c r="DP75" s="405"/>
      <c r="DQ75" s="405"/>
      <c r="DR75" s="405"/>
      <c r="DS75" s="405"/>
      <c r="DT75" s="405"/>
      <c r="DU75" s="405"/>
      <c r="DV75" s="405"/>
      <c r="DW75" s="405"/>
      <c r="DX75" s="405"/>
      <c r="DY75" s="405"/>
      <c r="DZ75" s="405"/>
      <c r="EA75" s="405"/>
      <c r="EB75" s="405"/>
      <c r="EC75" s="405"/>
      <c r="ED75" s="405"/>
      <c r="EE75" s="405"/>
      <c r="EF75" s="405"/>
      <c r="EG75" s="405"/>
      <c r="EH75" s="405"/>
      <c r="EI75" s="405"/>
      <c r="EJ75" s="405"/>
      <c r="EK75" s="405"/>
      <c r="EL75" s="405"/>
      <c r="EM75" s="405"/>
      <c r="EN75" s="405"/>
    </row>
    <row r="76" spans="1:144" ht="15" customHeight="1" outlineLevel="1">
      <c r="C76" s="403"/>
      <c r="D76" s="403"/>
      <c r="E76" s="403"/>
      <c r="F76" s="403"/>
      <c r="G76" s="403"/>
      <c r="H76" s="403"/>
      <c r="J76" s="403"/>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5"/>
      <c r="AY76" s="405"/>
      <c r="AZ76" s="405"/>
      <c r="BA76" s="405"/>
      <c r="BB76" s="405"/>
      <c r="BC76" s="405"/>
      <c r="BD76" s="405"/>
      <c r="BE76" s="405"/>
      <c r="BF76" s="405"/>
      <c r="BG76" s="405"/>
      <c r="BH76" s="405"/>
      <c r="BI76" s="405"/>
      <c r="BJ76" s="405"/>
      <c r="BK76" s="405"/>
      <c r="BL76" s="405"/>
      <c r="BM76" s="405"/>
      <c r="BN76" s="405"/>
      <c r="BO76" s="405"/>
      <c r="BP76" s="405"/>
      <c r="BQ76" s="405"/>
      <c r="BR76" s="405"/>
      <c r="BS76" s="405"/>
      <c r="BT76" s="405"/>
      <c r="BU76" s="405"/>
      <c r="BV76" s="405"/>
      <c r="BW76" s="405"/>
      <c r="BX76" s="405"/>
      <c r="BY76" s="405"/>
      <c r="BZ76" s="405"/>
      <c r="CA76" s="405"/>
      <c r="CB76" s="405"/>
      <c r="CC76" s="405"/>
      <c r="CD76" s="405"/>
      <c r="CE76" s="405"/>
      <c r="CF76" s="405"/>
      <c r="CG76" s="405"/>
      <c r="CH76" s="405"/>
      <c r="CI76" s="405"/>
      <c r="CJ76" s="405"/>
      <c r="CK76" s="405"/>
      <c r="CL76" s="405"/>
      <c r="CM76" s="405"/>
      <c r="CN76" s="405"/>
      <c r="CO76" s="405"/>
      <c r="CP76" s="405"/>
      <c r="CQ76" s="405"/>
      <c r="CR76" s="405"/>
      <c r="CS76" s="405"/>
      <c r="CT76" s="405"/>
      <c r="CU76" s="405"/>
      <c r="CV76" s="405"/>
      <c r="CW76" s="405"/>
      <c r="CX76" s="405"/>
      <c r="CY76" s="405"/>
      <c r="CZ76" s="405"/>
      <c r="DA76" s="405"/>
      <c r="DB76" s="405"/>
      <c r="DC76" s="405"/>
      <c r="DD76" s="405"/>
      <c r="DE76" s="405"/>
      <c r="DF76" s="405"/>
      <c r="DG76" s="405"/>
      <c r="DH76" s="405"/>
      <c r="DI76" s="405"/>
      <c r="DJ76" s="405"/>
      <c r="DK76" s="405"/>
      <c r="DL76" s="405"/>
      <c r="DM76" s="405"/>
      <c r="DN76" s="405"/>
      <c r="DO76" s="405"/>
      <c r="DP76" s="405"/>
      <c r="DQ76" s="405"/>
      <c r="DR76" s="405"/>
      <c r="DS76" s="405"/>
      <c r="DT76" s="405"/>
      <c r="DU76" s="405"/>
      <c r="DV76" s="405"/>
      <c r="DW76" s="405"/>
      <c r="DX76" s="405"/>
      <c r="DY76" s="405"/>
      <c r="DZ76" s="405"/>
      <c r="EA76" s="405"/>
      <c r="EB76" s="405"/>
      <c r="EC76" s="405"/>
      <c r="ED76" s="405"/>
      <c r="EE76" s="405"/>
      <c r="EF76" s="405"/>
      <c r="EG76" s="405"/>
      <c r="EH76" s="405"/>
      <c r="EI76" s="405"/>
      <c r="EJ76" s="405"/>
      <c r="EK76" s="405"/>
      <c r="EL76" s="405"/>
      <c r="EM76" s="405"/>
      <c r="EN76" s="405"/>
    </row>
    <row r="77" spans="1:144" ht="15" customHeight="1">
      <c r="B77" s="459" t="str">
        <f>VLOOKUP("Input_3_Header",Hidden_Translations!$B$11:$J$1184,Hidden_Translations!$C$8,FALSE)</f>
        <v>#3: Producer</v>
      </c>
      <c r="C77" s="459"/>
      <c r="D77" s="459"/>
      <c r="E77" s="459"/>
      <c r="F77" s="459"/>
      <c r="G77" s="459"/>
      <c r="H77" s="459"/>
      <c r="J77" s="403"/>
      <c r="U77" s="405"/>
      <c r="V77" s="405"/>
      <c r="W77" s="405"/>
      <c r="X77" s="405"/>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5"/>
      <c r="AU77" s="405"/>
      <c r="AV77" s="405"/>
      <c r="AW77" s="405"/>
      <c r="AX77" s="405"/>
      <c r="AY77" s="405"/>
      <c r="AZ77" s="405"/>
      <c r="BA77" s="405"/>
      <c r="BB77" s="405"/>
      <c r="BC77" s="405"/>
      <c r="BD77" s="405"/>
      <c r="BE77" s="405"/>
      <c r="BF77" s="405"/>
      <c r="BG77" s="405"/>
      <c r="BH77" s="405"/>
      <c r="BI77" s="405"/>
      <c r="BJ77" s="405"/>
      <c r="BK77" s="405"/>
      <c r="BL77" s="405"/>
      <c r="BM77" s="405"/>
      <c r="BN77" s="405"/>
      <c r="BO77" s="405"/>
      <c r="BP77" s="405"/>
      <c r="BQ77" s="405"/>
      <c r="BR77" s="405"/>
      <c r="BS77" s="405"/>
      <c r="BT77" s="405"/>
      <c r="BU77" s="405"/>
      <c r="BV77" s="405"/>
      <c r="BW77" s="405"/>
      <c r="BX77" s="405"/>
      <c r="BY77" s="405"/>
      <c r="BZ77" s="405"/>
      <c r="CA77" s="405"/>
      <c r="CB77" s="405"/>
      <c r="CC77" s="405"/>
      <c r="CD77" s="405"/>
      <c r="CE77" s="405"/>
      <c r="CF77" s="405"/>
      <c r="CG77" s="405"/>
      <c r="CH77" s="405"/>
      <c r="CI77" s="405"/>
      <c r="CJ77" s="405"/>
      <c r="CK77" s="405"/>
      <c r="CL77" s="405"/>
      <c r="CM77" s="405"/>
      <c r="CN77" s="405"/>
      <c r="CO77" s="405"/>
      <c r="CP77" s="405"/>
      <c r="CQ77" s="405"/>
      <c r="CR77" s="405"/>
      <c r="CS77" s="405"/>
      <c r="CT77" s="405"/>
      <c r="CU77" s="405"/>
      <c r="CV77" s="405"/>
      <c r="CW77" s="405"/>
      <c r="CX77" s="405"/>
      <c r="CY77" s="405"/>
      <c r="CZ77" s="405"/>
      <c r="DA77" s="405"/>
      <c r="DB77" s="405"/>
      <c r="DC77" s="405"/>
      <c r="DD77" s="405"/>
      <c r="DE77" s="405"/>
      <c r="DF77" s="405"/>
      <c r="DG77" s="405"/>
      <c r="DH77" s="405"/>
      <c r="DI77" s="405"/>
      <c r="DJ77" s="405"/>
      <c r="DK77" s="405"/>
      <c r="DL77" s="405"/>
      <c r="DM77" s="405"/>
      <c r="DN77" s="405"/>
      <c r="DO77" s="405"/>
      <c r="DP77" s="405"/>
      <c r="DQ77" s="405"/>
      <c r="DR77" s="405"/>
      <c r="DS77" s="405"/>
      <c r="DT77" s="405"/>
      <c r="DU77" s="405"/>
      <c r="DV77" s="405"/>
      <c r="DW77" s="405"/>
      <c r="DX77" s="405"/>
      <c r="DY77" s="405"/>
      <c r="DZ77" s="405"/>
      <c r="EA77" s="405"/>
      <c r="EB77" s="405"/>
      <c r="EC77" s="405"/>
      <c r="ED77" s="405"/>
      <c r="EE77" s="405"/>
      <c r="EF77" s="405"/>
      <c r="EG77" s="405"/>
      <c r="EH77" s="405"/>
      <c r="EI77" s="405"/>
      <c r="EJ77" s="405"/>
      <c r="EK77" s="405"/>
      <c r="EL77" s="405"/>
      <c r="EM77" s="405"/>
      <c r="EN77" s="405"/>
    </row>
    <row r="78" spans="1:144" s="413" customFormat="1" ht="15" customHeight="1">
      <c r="A78" s="460"/>
      <c r="B78" s="445"/>
      <c r="C78" s="79"/>
      <c r="H78" s="404"/>
      <c r="J78" s="403"/>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446"/>
      <c r="BC78" s="446"/>
      <c r="BD78" s="446"/>
      <c r="BE78" s="446"/>
      <c r="BF78" s="446"/>
      <c r="BG78" s="446"/>
      <c r="BH78" s="446"/>
      <c r="BI78" s="446"/>
      <c r="BJ78" s="446"/>
      <c r="BK78" s="446"/>
      <c r="BL78" s="446"/>
      <c r="BM78" s="446"/>
      <c r="BN78" s="446"/>
      <c r="BO78" s="446"/>
      <c r="BP78" s="446"/>
      <c r="BQ78" s="446"/>
      <c r="BR78" s="446"/>
      <c r="BS78" s="446"/>
      <c r="BT78" s="446"/>
      <c r="BU78" s="446"/>
      <c r="BV78" s="446"/>
      <c r="BW78" s="446"/>
      <c r="BX78" s="446"/>
      <c r="BY78" s="446"/>
      <c r="BZ78" s="446"/>
      <c r="CA78" s="446"/>
      <c r="CB78" s="446"/>
      <c r="CC78" s="446"/>
      <c r="CD78" s="446"/>
      <c r="CE78" s="446"/>
      <c r="CF78" s="446"/>
      <c r="CG78" s="446"/>
      <c r="CH78" s="446"/>
      <c r="CI78" s="446"/>
      <c r="CJ78" s="446"/>
      <c r="CK78" s="446"/>
      <c r="CL78" s="446"/>
      <c r="CM78" s="446"/>
      <c r="CN78" s="446"/>
      <c r="CO78" s="446"/>
      <c r="CP78" s="446"/>
      <c r="CQ78" s="446"/>
      <c r="CR78" s="446"/>
      <c r="CS78" s="446"/>
      <c r="CT78" s="446"/>
      <c r="CU78" s="446"/>
      <c r="CV78" s="446"/>
      <c r="CW78" s="446"/>
      <c r="CX78" s="446"/>
      <c r="CY78" s="446"/>
      <c r="CZ78" s="446"/>
      <c r="DA78" s="446"/>
      <c r="DB78" s="446"/>
      <c r="DC78" s="446"/>
      <c r="DD78" s="446"/>
      <c r="DE78" s="446"/>
      <c r="DF78" s="446"/>
      <c r="DG78" s="446"/>
      <c r="DH78" s="446"/>
      <c r="DI78" s="446"/>
      <c r="DJ78" s="446"/>
      <c r="DK78" s="446"/>
      <c r="DL78" s="446"/>
      <c r="DM78" s="446"/>
      <c r="DN78" s="446"/>
      <c r="DO78" s="446"/>
      <c r="DP78" s="446"/>
      <c r="DQ78" s="446"/>
      <c r="DR78" s="446"/>
      <c r="DS78" s="446"/>
      <c r="DT78" s="446"/>
      <c r="DU78" s="446"/>
      <c r="DV78" s="446"/>
      <c r="DW78" s="446"/>
      <c r="DX78" s="446"/>
      <c r="DY78" s="446"/>
      <c r="DZ78" s="446"/>
      <c r="EA78" s="446"/>
      <c r="EB78" s="446"/>
      <c r="EC78" s="446"/>
      <c r="ED78" s="446"/>
      <c r="EE78" s="446"/>
      <c r="EF78" s="446"/>
      <c r="EG78" s="446"/>
      <c r="EH78" s="446"/>
      <c r="EI78" s="446"/>
      <c r="EJ78" s="446"/>
      <c r="EK78" s="446"/>
      <c r="EL78" s="446"/>
      <c r="EM78" s="446"/>
      <c r="EN78" s="446"/>
    </row>
    <row r="79" spans="1:144" s="413" customFormat="1" ht="30" customHeight="1" outlineLevel="1">
      <c r="A79" s="460"/>
      <c r="B79" s="489" t="str">
        <f>VLOOKUP("Input_3_Header_Text",Hidden_Translations!$B$11:$J$1184,Hidden_Translations!$C$8,FALSE)</f>
        <v xml:space="preserve">The activities at the producer relate to processing the raw materials (food goods including packaging and others) into a finished food product ready to transport across a supply chain for consumption. </v>
      </c>
      <c r="C79" s="489"/>
      <c r="D79" s="489"/>
      <c r="E79" s="489"/>
      <c r="F79" s="489"/>
      <c r="G79" s="489"/>
      <c r="H79" s="489"/>
      <c r="J79" s="404"/>
      <c r="U79" s="446"/>
      <c r="V79" s="446"/>
      <c r="W79" s="446"/>
      <c r="X79" s="446"/>
      <c r="Y79" s="446"/>
      <c r="Z79" s="446"/>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6"/>
      <c r="AY79" s="446"/>
      <c r="AZ79" s="446"/>
      <c r="BA79" s="446"/>
      <c r="BB79" s="446"/>
      <c r="BC79" s="446"/>
      <c r="BD79" s="446"/>
      <c r="BE79" s="446"/>
      <c r="BF79" s="446"/>
      <c r="BG79" s="446"/>
      <c r="BH79" s="446"/>
      <c r="BI79" s="446"/>
      <c r="BJ79" s="446"/>
      <c r="BK79" s="446"/>
      <c r="BL79" s="446"/>
      <c r="BM79" s="446"/>
      <c r="BN79" s="446"/>
      <c r="BO79" s="446"/>
      <c r="BP79" s="446"/>
      <c r="BQ79" s="446"/>
      <c r="BR79" s="446"/>
      <c r="BS79" s="446"/>
      <c r="BT79" s="446"/>
      <c r="BU79" s="446"/>
      <c r="BV79" s="446"/>
      <c r="BW79" s="446"/>
      <c r="BX79" s="446"/>
      <c r="BY79" s="446"/>
      <c r="BZ79" s="446"/>
      <c r="CA79" s="446"/>
      <c r="CB79" s="446"/>
      <c r="CC79" s="446"/>
      <c r="CD79" s="446"/>
      <c r="CE79" s="446"/>
      <c r="CF79" s="446"/>
      <c r="CG79" s="446"/>
      <c r="CH79" s="446"/>
      <c r="CI79" s="446"/>
      <c r="CJ79" s="446"/>
      <c r="CK79" s="446"/>
      <c r="CL79" s="446"/>
      <c r="CM79" s="446"/>
      <c r="CN79" s="446"/>
      <c r="CO79" s="446"/>
      <c r="CP79" s="446"/>
      <c r="CQ79" s="446"/>
      <c r="CR79" s="446"/>
      <c r="CS79" s="446"/>
      <c r="CT79" s="446"/>
      <c r="CU79" s="446"/>
      <c r="CV79" s="446"/>
      <c r="CW79" s="446"/>
      <c r="CX79" s="446"/>
      <c r="CY79" s="446"/>
      <c r="CZ79" s="446"/>
      <c r="DA79" s="446"/>
      <c r="DB79" s="446"/>
      <c r="DC79" s="446"/>
      <c r="DD79" s="446"/>
      <c r="DE79" s="446"/>
      <c r="DF79" s="446"/>
      <c r="DG79" s="446"/>
      <c r="DH79" s="446"/>
      <c r="DI79" s="446"/>
      <c r="DJ79" s="446"/>
      <c r="DK79" s="446"/>
      <c r="DL79" s="446"/>
      <c r="DM79" s="446"/>
      <c r="DN79" s="446"/>
      <c r="DO79" s="446"/>
      <c r="DP79" s="446"/>
      <c r="DQ79" s="446"/>
      <c r="DR79" s="446"/>
      <c r="DS79" s="446"/>
      <c r="DT79" s="446"/>
      <c r="DU79" s="446"/>
      <c r="DV79" s="446"/>
      <c r="DW79" s="446"/>
      <c r="DX79" s="446"/>
      <c r="DY79" s="446"/>
      <c r="DZ79" s="446"/>
      <c r="EA79" s="446"/>
      <c r="EB79" s="446"/>
      <c r="EC79" s="446"/>
      <c r="ED79" s="446"/>
      <c r="EE79" s="446"/>
      <c r="EF79" s="446"/>
      <c r="EG79" s="446"/>
      <c r="EH79" s="446"/>
      <c r="EI79" s="446"/>
      <c r="EJ79" s="446"/>
      <c r="EK79" s="446"/>
      <c r="EL79" s="446"/>
      <c r="EM79" s="446"/>
      <c r="EN79" s="446"/>
    </row>
    <row r="80" spans="1:144" s="413" customFormat="1" ht="15" customHeight="1" outlineLevel="1">
      <c r="A80" s="460"/>
      <c r="B80" s="461"/>
      <c r="C80" s="461"/>
      <c r="D80" s="461"/>
      <c r="E80" s="461"/>
      <c r="F80" s="461"/>
      <c r="G80" s="461"/>
      <c r="H80" s="461"/>
      <c r="J80" s="404"/>
      <c r="U80" s="446"/>
      <c r="V80" s="446"/>
      <c r="W80" s="446"/>
      <c r="X80" s="446"/>
      <c r="Y80" s="446"/>
      <c r="Z80" s="446"/>
      <c r="AA80" s="446"/>
      <c r="AB80" s="446"/>
      <c r="AC80" s="446"/>
      <c r="AD80" s="446"/>
      <c r="AE80" s="446"/>
      <c r="AF80" s="446"/>
      <c r="AG80" s="446"/>
      <c r="AH80" s="446"/>
      <c r="AI80" s="446"/>
      <c r="AJ80" s="446"/>
      <c r="AK80" s="446"/>
      <c r="AL80" s="446"/>
      <c r="AM80" s="446"/>
      <c r="AN80" s="446"/>
      <c r="AO80" s="446"/>
      <c r="AP80" s="446"/>
      <c r="AQ80" s="446"/>
      <c r="AR80" s="446"/>
      <c r="AS80" s="446"/>
      <c r="AT80" s="446"/>
      <c r="AU80" s="446"/>
      <c r="AV80" s="446"/>
      <c r="AW80" s="446"/>
      <c r="AX80" s="446"/>
      <c r="AY80" s="446"/>
      <c r="AZ80" s="446"/>
      <c r="BA80" s="446"/>
      <c r="BB80" s="446"/>
      <c r="BC80" s="446"/>
      <c r="BD80" s="446"/>
      <c r="BE80" s="446"/>
      <c r="BF80" s="446"/>
      <c r="BG80" s="446"/>
      <c r="BH80" s="446"/>
      <c r="BI80" s="446"/>
      <c r="BJ80" s="446"/>
      <c r="BK80" s="446"/>
      <c r="BL80" s="446"/>
      <c r="BM80" s="446"/>
      <c r="BN80" s="446"/>
      <c r="BO80" s="446"/>
      <c r="BP80" s="446"/>
      <c r="BQ80" s="446"/>
      <c r="BR80" s="446"/>
      <c r="BS80" s="446"/>
      <c r="BT80" s="446"/>
      <c r="BU80" s="446"/>
      <c r="BV80" s="446"/>
      <c r="BW80" s="446"/>
      <c r="BX80" s="446"/>
      <c r="BY80" s="446"/>
      <c r="BZ80" s="446"/>
      <c r="CA80" s="446"/>
      <c r="CB80" s="446"/>
      <c r="CC80" s="446"/>
      <c r="CD80" s="446"/>
      <c r="CE80" s="446"/>
      <c r="CF80" s="446"/>
      <c r="CG80" s="446"/>
      <c r="CH80" s="446"/>
      <c r="CI80" s="446"/>
      <c r="CJ80" s="446"/>
      <c r="CK80" s="446"/>
      <c r="CL80" s="446"/>
      <c r="CM80" s="446"/>
      <c r="CN80" s="446"/>
      <c r="CO80" s="446"/>
      <c r="CP80" s="446"/>
      <c r="CQ80" s="446"/>
      <c r="CR80" s="446"/>
      <c r="CS80" s="446"/>
      <c r="CT80" s="446"/>
      <c r="CU80" s="446"/>
      <c r="CV80" s="446"/>
      <c r="CW80" s="446"/>
      <c r="CX80" s="446"/>
      <c r="CY80" s="446"/>
      <c r="CZ80" s="446"/>
      <c r="DA80" s="446"/>
      <c r="DB80" s="446"/>
      <c r="DC80" s="446"/>
      <c r="DD80" s="446"/>
      <c r="DE80" s="446"/>
      <c r="DF80" s="446"/>
      <c r="DG80" s="446"/>
      <c r="DH80" s="446"/>
      <c r="DI80" s="446"/>
      <c r="DJ80" s="446"/>
      <c r="DK80" s="446"/>
      <c r="DL80" s="446"/>
      <c r="DM80" s="446"/>
      <c r="DN80" s="446"/>
      <c r="DO80" s="446"/>
      <c r="DP80" s="446"/>
      <c r="DQ80" s="446"/>
      <c r="DR80" s="446"/>
      <c r="DS80" s="446"/>
      <c r="DT80" s="446"/>
      <c r="DU80" s="446"/>
      <c r="DV80" s="446"/>
      <c r="DW80" s="446"/>
      <c r="DX80" s="446"/>
      <c r="DY80" s="446"/>
      <c r="DZ80" s="446"/>
      <c r="EA80" s="446"/>
      <c r="EB80" s="446"/>
      <c r="EC80" s="446"/>
      <c r="ED80" s="446"/>
      <c r="EE80" s="446"/>
      <c r="EF80" s="446"/>
      <c r="EG80" s="446"/>
      <c r="EH80" s="446"/>
      <c r="EI80" s="446"/>
      <c r="EJ80" s="446"/>
      <c r="EK80" s="446"/>
      <c r="EL80" s="446"/>
      <c r="EM80" s="446"/>
      <c r="EN80" s="446"/>
    </row>
    <row r="81" spans="1:144" s="413" customFormat="1" ht="15" customHeight="1" outlineLevel="1">
      <c r="A81" s="460"/>
      <c r="B81" s="440" t="str">
        <f>VLOOKUP("Input_3_Production_Header",Hidden_Translations!$B$11:$J$1184,Hidden_Translations!$C$8,FALSE)</f>
        <v>Packaging &amp; production</v>
      </c>
      <c r="C81" s="440"/>
      <c r="D81" s="440"/>
      <c r="E81" s="440"/>
      <c r="F81" s="440"/>
      <c r="G81" s="440"/>
      <c r="H81" s="440"/>
      <c r="J81" s="404"/>
      <c r="U81" s="446"/>
      <c r="V81" s="446"/>
      <c r="W81" s="446"/>
      <c r="X81" s="446"/>
      <c r="Y81" s="446"/>
      <c r="Z81" s="446"/>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446"/>
      <c r="AY81" s="446"/>
      <c r="AZ81" s="446"/>
      <c r="BA81" s="446"/>
      <c r="BB81" s="446"/>
      <c r="BC81" s="446"/>
      <c r="BD81" s="446"/>
      <c r="BE81" s="446"/>
      <c r="BF81" s="446"/>
      <c r="BG81" s="446"/>
      <c r="BH81" s="446"/>
      <c r="BI81" s="446"/>
      <c r="BJ81" s="446"/>
      <c r="BK81" s="446"/>
      <c r="BL81" s="446"/>
      <c r="BM81" s="446"/>
      <c r="BN81" s="446"/>
      <c r="BO81" s="446"/>
      <c r="BP81" s="446"/>
      <c r="BQ81" s="446"/>
      <c r="BR81" s="446"/>
      <c r="BS81" s="446"/>
      <c r="BT81" s="446"/>
      <c r="BU81" s="446"/>
      <c r="BV81" s="446"/>
      <c r="BW81" s="446"/>
      <c r="BX81" s="446"/>
      <c r="BY81" s="446"/>
      <c r="BZ81" s="446"/>
      <c r="CA81" s="446"/>
      <c r="CB81" s="446"/>
      <c r="CC81" s="446"/>
      <c r="CD81" s="446"/>
      <c r="CE81" s="446"/>
      <c r="CF81" s="446"/>
      <c r="CG81" s="446"/>
      <c r="CH81" s="446"/>
      <c r="CI81" s="446"/>
      <c r="CJ81" s="446"/>
      <c r="CK81" s="446"/>
      <c r="CL81" s="446"/>
      <c r="CM81" s="446"/>
      <c r="CN81" s="446"/>
      <c r="CO81" s="446"/>
      <c r="CP81" s="446"/>
      <c r="CQ81" s="446"/>
      <c r="CR81" s="446"/>
      <c r="CS81" s="446"/>
      <c r="CT81" s="446"/>
      <c r="CU81" s="446"/>
      <c r="CV81" s="446"/>
      <c r="CW81" s="446"/>
      <c r="CX81" s="446"/>
      <c r="CY81" s="446"/>
      <c r="CZ81" s="446"/>
      <c r="DA81" s="446"/>
      <c r="DB81" s="446"/>
      <c r="DC81" s="446"/>
      <c r="DD81" s="446"/>
      <c r="DE81" s="446"/>
      <c r="DF81" s="446"/>
      <c r="DG81" s="446"/>
      <c r="DH81" s="446"/>
      <c r="DI81" s="446"/>
      <c r="DJ81" s="446"/>
      <c r="DK81" s="446"/>
      <c r="DL81" s="446"/>
      <c r="DM81" s="446"/>
      <c r="DN81" s="446"/>
      <c r="DO81" s="446"/>
      <c r="DP81" s="446"/>
      <c r="DQ81" s="446"/>
      <c r="DR81" s="446"/>
      <c r="DS81" s="446"/>
      <c r="DT81" s="446"/>
      <c r="DU81" s="446"/>
      <c r="DV81" s="446"/>
      <c r="DW81" s="446"/>
      <c r="DX81" s="446"/>
      <c r="DY81" s="446"/>
      <c r="DZ81" s="446"/>
      <c r="EA81" s="446"/>
      <c r="EB81" s="446"/>
      <c r="EC81" s="446"/>
      <c r="ED81" s="446"/>
      <c r="EE81" s="446"/>
      <c r="EF81" s="446"/>
      <c r="EG81" s="446"/>
      <c r="EH81" s="446"/>
      <c r="EI81" s="446"/>
      <c r="EJ81" s="446"/>
      <c r="EK81" s="446"/>
      <c r="EL81" s="446"/>
      <c r="EM81" s="446"/>
      <c r="EN81" s="446"/>
    </row>
    <row r="82" spans="1:144" s="413" customFormat="1" ht="15" customHeight="1" outlineLevel="1">
      <c r="A82" s="460"/>
      <c r="B82" s="462"/>
      <c r="C82" s="461"/>
      <c r="D82" s="461"/>
      <c r="E82" s="461"/>
      <c r="F82" s="461"/>
      <c r="G82" s="461"/>
      <c r="H82" s="461"/>
      <c r="J82" s="404"/>
      <c r="U82" s="446"/>
      <c r="V82" s="446"/>
      <c r="W82" s="446"/>
      <c r="X82" s="446"/>
      <c r="Y82" s="446"/>
      <c r="Z82" s="446"/>
      <c r="AA82" s="446"/>
      <c r="AB82" s="446"/>
      <c r="AC82" s="446"/>
      <c r="AD82" s="446"/>
      <c r="AE82" s="446"/>
      <c r="AF82" s="446"/>
      <c r="AG82" s="446"/>
      <c r="AH82" s="446"/>
      <c r="AI82" s="446"/>
      <c r="AJ82" s="446"/>
      <c r="AK82" s="446"/>
      <c r="AL82" s="446"/>
      <c r="AM82" s="446"/>
      <c r="AN82" s="446"/>
      <c r="AO82" s="446"/>
      <c r="AP82" s="446"/>
      <c r="AQ82" s="446"/>
      <c r="AR82" s="446"/>
      <c r="AS82" s="446"/>
      <c r="AT82" s="446"/>
      <c r="AU82" s="446"/>
      <c r="AV82" s="446"/>
      <c r="AW82" s="446"/>
      <c r="AX82" s="446"/>
      <c r="AY82" s="446"/>
      <c r="AZ82" s="446"/>
      <c r="BA82" s="446"/>
      <c r="BB82" s="446"/>
      <c r="BC82" s="446"/>
      <c r="BD82" s="446"/>
      <c r="BE82" s="446"/>
      <c r="BF82" s="446"/>
      <c r="BG82" s="446"/>
      <c r="BH82" s="446"/>
      <c r="BI82" s="446"/>
      <c r="BJ82" s="446"/>
      <c r="BK82" s="446"/>
      <c r="BL82" s="446"/>
      <c r="BM82" s="446"/>
      <c r="BN82" s="446"/>
      <c r="BO82" s="446"/>
      <c r="BP82" s="446"/>
      <c r="BQ82" s="446"/>
      <c r="BR82" s="446"/>
      <c r="BS82" s="446"/>
      <c r="BT82" s="446"/>
      <c r="BU82" s="446"/>
      <c r="BV82" s="446"/>
      <c r="BW82" s="446"/>
      <c r="BX82" s="446"/>
      <c r="BY82" s="446"/>
      <c r="BZ82" s="446"/>
      <c r="CA82" s="446"/>
      <c r="CB82" s="446"/>
      <c r="CC82" s="446"/>
      <c r="CD82" s="446"/>
      <c r="CE82" s="446"/>
      <c r="CF82" s="446"/>
      <c r="CG82" s="446"/>
      <c r="CH82" s="446"/>
      <c r="CI82" s="446"/>
      <c r="CJ82" s="446"/>
      <c r="CK82" s="446"/>
      <c r="CL82" s="446"/>
      <c r="CM82" s="446"/>
      <c r="CN82" s="446"/>
      <c r="CO82" s="446"/>
      <c r="CP82" s="446"/>
      <c r="CQ82" s="446"/>
      <c r="CR82" s="446"/>
      <c r="CS82" s="446"/>
      <c r="CT82" s="446"/>
      <c r="CU82" s="446"/>
      <c r="CV82" s="446"/>
      <c r="CW82" s="446"/>
      <c r="CX82" s="446"/>
      <c r="CY82" s="446"/>
      <c r="CZ82" s="446"/>
      <c r="DA82" s="446"/>
      <c r="DB82" s="446"/>
      <c r="DC82" s="446"/>
      <c r="DD82" s="446"/>
      <c r="DE82" s="446"/>
      <c r="DF82" s="446"/>
      <c r="DG82" s="446"/>
      <c r="DH82" s="446"/>
      <c r="DI82" s="446"/>
      <c r="DJ82" s="446"/>
      <c r="DK82" s="446"/>
      <c r="DL82" s="446"/>
      <c r="DM82" s="446"/>
      <c r="DN82" s="446"/>
      <c r="DO82" s="446"/>
      <c r="DP82" s="446"/>
      <c r="DQ82" s="446"/>
      <c r="DR82" s="446"/>
      <c r="DS82" s="446"/>
      <c r="DT82" s="446"/>
      <c r="DU82" s="446"/>
      <c r="DV82" s="446"/>
      <c r="DW82" s="446"/>
      <c r="DX82" s="446"/>
      <c r="DY82" s="446"/>
      <c r="DZ82" s="446"/>
      <c r="EA82" s="446"/>
      <c r="EB82" s="446"/>
      <c r="EC82" s="446"/>
      <c r="ED82" s="446"/>
      <c r="EE82" s="446"/>
      <c r="EF82" s="446"/>
      <c r="EG82" s="446"/>
      <c r="EH82" s="446"/>
      <c r="EI82" s="446"/>
      <c r="EJ82" s="446"/>
      <c r="EK82" s="446"/>
      <c r="EL82" s="446"/>
      <c r="EM82" s="446"/>
      <c r="EN82" s="446"/>
    </row>
    <row r="83" spans="1:144" s="413" customFormat="1" ht="15" customHeight="1" outlineLevel="1">
      <c r="A83" s="460"/>
      <c r="B83" s="489" t="str">
        <f>VLOOKUP("Input_3_Production_Header_Text",Hidden_Translations!$B$11:$J$1184,Hidden_Translations!$C$8,FALSE)</f>
        <v xml:space="preserve">Please specify the materials required for packaging the total amount of products specified earlier. </v>
      </c>
      <c r="C83" s="489"/>
      <c r="D83" s="489"/>
      <c r="E83" s="489"/>
      <c r="F83" s="489"/>
      <c r="G83" s="489"/>
      <c r="H83" s="489"/>
      <c r="J83" s="404"/>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6"/>
      <c r="AY83" s="446"/>
      <c r="AZ83" s="446"/>
      <c r="BA83" s="446"/>
      <c r="BB83" s="446"/>
      <c r="BC83" s="446"/>
      <c r="BD83" s="446"/>
      <c r="BE83" s="446"/>
      <c r="BF83" s="446"/>
      <c r="BG83" s="446"/>
      <c r="BH83" s="446"/>
      <c r="BI83" s="446"/>
      <c r="BJ83" s="446"/>
      <c r="BK83" s="446"/>
      <c r="BL83" s="446"/>
      <c r="BM83" s="446"/>
      <c r="BN83" s="446"/>
      <c r="BO83" s="446"/>
      <c r="BP83" s="446"/>
      <c r="BQ83" s="446"/>
      <c r="BR83" s="446"/>
      <c r="BS83" s="446"/>
      <c r="BT83" s="446"/>
      <c r="BU83" s="446"/>
      <c r="BV83" s="446"/>
      <c r="BW83" s="446"/>
      <c r="BX83" s="446"/>
      <c r="BY83" s="446"/>
      <c r="BZ83" s="446"/>
      <c r="CA83" s="446"/>
      <c r="CB83" s="446"/>
      <c r="CC83" s="446"/>
      <c r="CD83" s="446"/>
      <c r="CE83" s="446"/>
      <c r="CF83" s="446"/>
      <c r="CG83" s="446"/>
      <c r="CH83" s="446"/>
      <c r="CI83" s="446"/>
      <c r="CJ83" s="446"/>
      <c r="CK83" s="446"/>
      <c r="CL83" s="446"/>
      <c r="CM83" s="446"/>
      <c r="CN83" s="446"/>
      <c r="CO83" s="446"/>
      <c r="CP83" s="446"/>
      <c r="CQ83" s="446"/>
      <c r="CR83" s="446"/>
      <c r="CS83" s="446"/>
      <c r="CT83" s="446"/>
      <c r="CU83" s="446"/>
      <c r="CV83" s="446"/>
      <c r="CW83" s="446"/>
      <c r="CX83" s="446"/>
      <c r="CY83" s="446"/>
      <c r="CZ83" s="446"/>
      <c r="DA83" s="446"/>
      <c r="DB83" s="446"/>
      <c r="DC83" s="446"/>
      <c r="DD83" s="446"/>
      <c r="DE83" s="446"/>
      <c r="DF83" s="446"/>
      <c r="DG83" s="446"/>
      <c r="DH83" s="446"/>
      <c r="DI83" s="446"/>
      <c r="DJ83" s="446"/>
      <c r="DK83" s="446"/>
      <c r="DL83" s="446"/>
      <c r="DM83" s="446"/>
      <c r="DN83" s="446"/>
      <c r="DO83" s="446"/>
      <c r="DP83" s="446"/>
      <c r="DQ83" s="446"/>
      <c r="DR83" s="446"/>
      <c r="DS83" s="446"/>
      <c r="DT83" s="446"/>
      <c r="DU83" s="446"/>
      <c r="DV83" s="446"/>
      <c r="DW83" s="446"/>
      <c r="DX83" s="446"/>
      <c r="DY83" s="446"/>
      <c r="DZ83" s="446"/>
      <c r="EA83" s="446"/>
      <c r="EB83" s="446"/>
      <c r="EC83" s="446"/>
      <c r="ED83" s="446"/>
      <c r="EE83" s="446"/>
      <c r="EF83" s="446"/>
      <c r="EG83" s="446"/>
      <c r="EH83" s="446"/>
      <c r="EI83" s="446"/>
      <c r="EJ83" s="446"/>
      <c r="EK83" s="446"/>
      <c r="EL83" s="446"/>
      <c r="EM83" s="446"/>
      <c r="EN83" s="446"/>
    </row>
    <row r="84" spans="1:144" s="413" customFormat="1" ht="15" customHeight="1" outlineLevel="1">
      <c r="A84" s="460"/>
      <c r="B84" s="445"/>
      <c r="C84" s="79"/>
      <c r="H84" s="404"/>
      <c r="J84" s="404"/>
      <c r="U84" s="446"/>
      <c r="V84" s="446"/>
      <c r="W84" s="446"/>
      <c r="X84" s="446"/>
      <c r="Y84" s="446"/>
      <c r="Z84" s="446"/>
      <c r="AA84" s="446"/>
      <c r="AB84" s="446"/>
      <c r="AC84" s="446"/>
      <c r="AD84" s="446"/>
      <c r="AE84" s="446"/>
      <c r="AF84" s="446"/>
      <c r="AG84" s="446"/>
      <c r="AH84" s="446"/>
      <c r="AI84" s="446"/>
      <c r="AJ84" s="446"/>
      <c r="AK84" s="446"/>
      <c r="AL84" s="446"/>
      <c r="AM84" s="446"/>
      <c r="AN84" s="446"/>
      <c r="AO84" s="446"/>
      <c r="AP84" s="446"/>
      <c r="AQ84" s="446"/>
      <c r="AR84" s="446"/>
      <c r="AS84" s="446"/>
      <c r="AT84" s="446"/>
      <c r="AU84" s="446"/>
      <c r="AV84" s="446"/>
      <c r="AW84" s="446"/>
      <c r="AX84" s="446"/>
      <c r="AY84" s="446"/>
      <c r="AZ84" s="446"/>
      <c r="BA84" s="446"/>
      <c r="BB84" s="446"/>
      <c r="BC84" s="446"/>
      <c r="BD84" s="446"/>
      <c r="BE84" s="446"/>
      <c r="BF84" s="446"/>
      <c r="BG84" s="446"/>
      <c r="BH84" s="446"/>
      <c r="BI84" s="446"/>
      <c r="BJ84" s="446"/>
      <c r="BK84" s="446"/>
      <c r="BL84" s="446"/>
      <c r="BM84" s="446"/>
      <c r="BN84" s="446"/>
      <c r="BO84" s="446"/>
      <c r="BP84" s="446"/>
      <c r="BQ84" s="446"/>
      <c r="BR84" s="446"/>
      <c r="BS84" s="446"/>
      <c r="BT84" s="446"/>
      <c r="BU84" s="446"/>
      <c r="BV84" s="446"/>
      <c r="BW84" s="446"/>
      <c r="BX84" s="446"/>
      <c r="BY84" s="446"/>
      <c r="BZ84" s="446"/>
      <c r="CA84" s="446"/>
      <c r="CB84" s="446"/>
      <c r="CC84" s="446"/>
      <c r="CD84" s="446"/>
      <c r="CE84" s="446"/>
      <c r="CF84" s="446"/>
      <c r="CG84" s="446"/>
      <c r="CH84" s="446"/>
      <c r="CI84" s="446"/>
      <c r="CJ84" s="446"/>
      <c r="CK84" s="446"/>
      <c r="CL84" s="446"/>
      <c r="CM84" s="446"/>
      <c r="CN84" s="446"/>
      <c r="CO84" s="446"/>
      <c r="CP84" s="446"/>
      <c r="CQ84" s="446"/>
      <c r="CR84" s="446"/>
      <c r="CS84" s="446"/>
      <c r="CT84" s="446"/>
      <c r="CU84" s="446"/>
      <c r="CV84" s="446"/>
      <c r="CW84" s="446"/>
      <c r="CX84" s="446"/>
      <c r="CY84" s="446"/>
      <c r="CZ84" s="446"/>
      <c r="DA84" s="446"/>
      <c r="DB84" s="446"/>
      <c r="DC84" s="446"/>
      <c r="DD84" s="446"/>
      <c r="DE84" s="446"/>
      <c r="DF84" s="446"/>
      <c r="DG84" s="446"/>
      <c r="DH84" s="446"/>
      <c r="DI84" s="446"/>
      <c r="DJ84" s="446"/>
      <c r="DK84" s="446"/>
      <c r="DL84" s="446"/>
      <c r="DM84" s="446"/>
      <c r="DN84" s="446"/>
      <c r="DO84" s="446"/>
      <c r="DP84" s="446"/>
      <c r="DQ84" s="446"/>
      <c r="DR84" s="446"/>
      <c r="DS84" s="446"/>
      <c r="DT84" s="446"/>
      <c r="DU84" s="446"/>
      <c r="DV84" s="446"/>
      <c r="DW84" s="446"/>
      <c r="DX84" s="446"/>
      <c r="DY84" s="446"/>
      <c r="DZ84" s="446"/>
      <c r="EA84" s="446"/>
      <c r="EB84" s="446"/>
      <c r="EC84" s="446"/>
      <c r="ED84" s="446"/>
      <c r="EE84" s="446"/>
      <c r="EF84" s="446"/>
      <c r="EG84" s="446"/>
      <c r="EH84" s="446"/>
      <c r="EI84" s="446"/>
      <c r="EJ84" s="446"/>
      <c r="EK84" s="446"/>
      <c r="EL84" s="446"/>
      <c r="EM84" s="446"/>
      <c r="EN84" s="446"/>
    </row>
    <row r="85" spans="1:144" s="413" customFormat="1" ht="15" customHeight="1" outlineLevel="1">
      <c r="A85" s="460"/>
      <c r="B85" s="445"/>
      <c r="E85" s="453" t="str">
        <f>VLOOKUP("Input_3_Material",Hidden_Translations!$B$11:$J$1184,Hidden_Translations!$C$8,FALSE) &amp; " 1"</f>
        <v>Material 1</v>
      </c>
      <c r="F85" s="453" t="str">
        <f>VLOOKUP("Input_3_Material",Hidden_Translations!$B$11:$J$1184,Hidden_Translations!$C$8,FALSE) &amp; " 2"</f>
        <v>Material 2</v>
      </c>
      <c r="G85" s="453" t="str">
        <f>VLOOKUP("Input_3_Material",Hidden_Translations!$B$11:$J$1184,Hidden_Translations!$C$8,FALSE) &amp; " 3"</f>
        <v>Material 3</v>
      </c>
      <c r="J85" s="404"/>
      <c r="U85" s="446"/>
      <c r="V85" s="446"/>
      <c r="W85" s="446"/>
      <c r="X85" s="446"/>
      <c r="Y85" s="446"/>
      <c r="Z85" s="446"/>
      <c r="AA85" s="446"/>
      <c r="AB85" s="446"/>
      <c r="AC85" s="446"/>
      <c r="AD85" s="446"/>
      <c r="AE85" s="446"/>
      <c r="AF85" s="446"/>
      <c r="AG85" s="446"/>
      <c r="AH85" s="446"/>
      <c r="AI85" s="446"/>
      <c r="AJ85" s="446"/>
      <c r="AK85" s="446"/>
      <c r="AL85" s="446"/>
      <c r="AM85" s="446"/>
      <c r="AN85" s="446"/>
      <c r="AO85" s="446"/>
      <c r="AP85" s="446"/>
      <c r="AQ85" s="446"/>
      <c r="AR85" s="446"/>
      <c r="AS85" s="446"/>
      <c r="AT85" s="446"/>
      <c r="AU85" s="446"/>
      <c r="AV85" s="446"/>
      <c r="AW85" s="446"/>
      <c r="AX85" s="446"/>
      <c r="AY85" s="446"/>
      <c r="AZ85" s="446"/>
      <c r="BA85" s="446"/>
      <c r="BB85" s="446"/>
      <c r="BC85" s="446"/>
      <c r="BD85" s="446"/>
      <c r="BE85" s="446"/>
      <c r="BF85" s="446"/>
      <c r="BG85" s="446"/>
      <c r="BH85" s="446"/>
      <c r="BI85" s="446"/>
      <c r="BJ85" s="446"/>
      <c r="BK85" s="446"/>
      <c r="BL85" s="446"/>
      <c r="BM85" s="446"/>
      <c r="BN85" s="446"/>
      <c r="BO85" s="446"/>
      <c r="BP85" s="446"/>
      <c r="BQ85" s="446"/>
      <c r="BR85" s="446"/>
      <c r="BS85" s="446"/>
      <c r="BT85" s="446"/>
      <c r="BU85" s="446"/>
      <c r="BV85" s="446"/>
      <c r="BW85" s="446"/>
      <c r="BX85" s="446"/>
      <c r="BY85" s="446"/>
      <c r="BZ85" s="446"/>
      <c r="CA85" s="446"/>
      <c r="CB85" s="446"/>
      <c r="CC85" s="446"/>
      <c r="CD85" s="446"/>
      <c r="CE85" s="446"/>
      <c r="CF85" s="446"/>
      <c r="CG85" s="446"/>
      <c r="CH85" s="446"/>
      <c r="CI85" s="446"/>
      <c r="CJ85" s="446"/>
      <c r="CK85" s="446"/>
      <c r="CL85" s="446"/>
      <c r="CM85" s="446"/>
      <c r="CN85" s="446"/>
      <c r="CO85" s="446"/>
      <c r="CP85" s="446"/>
      <c r="CQ85" s="446"/>
      <c r="CR85" s="446"/>
      <c r="CS85" s="446"/>
      <c r="CT85" s="446"/>
      <c r="CU85" s="446"/>
      <c r="CV85" s="446"/>
      <c r="CW85" s="446"/>
      <c r="CX85" s="446"/>
      <c r="CY85" s="446"/>
      <c r="CZ85" s="446"/>
      <c r="DA85" s="446"/>
      <c r="DB85" s="446"/>
      <c r="DC85" s="446"/>
      <c r="DD85" s="446"/>
      <c r="DE85" s="446"/>
      <c r="DF85" s="446"/>
      <c r="DG85" s="446"/>
      <c r="DH85" s="446"/>
      <c r="DI85" s="446"/>
      <c r="DJ85" s="446"/>
      <c r="DK85" s="446"/>
      <c r="DL85" s="446"/>
      <c r="DM85" s="446"/>
      <c r="DN85" s="446"/>
      <c r="DO85" s="446"/>
      <c r="DP85" s="446"/>
      <c r="DQ85" s="446"/>
      <c r="DR85" s="446"/>
      <c r="DS85" s="446"/>
      <c r="DT85" s="446"/>
      <c r="DU85" s="446"/>
      <c r="DV85" s="446"/>
      <c r="DW85" s="446"/>
      <c r="DX85" s="446"/>
      <c r="DY85" s="446"/>
      <c r="DZ85" s="446"/>
      <c r="EA85" s="446"/>
      <c r="EB85" s="446"/>
      <c r="EC85" s="446"/>
      <c r="ED85" s="446"/>
      <c r="EE85" s="446"/>
      <c r="EF85" s="446"/>
      <c r="EG85" s="446"/>
      <c r="EH85" s="446"/>
      <c r="EI85" s="446"/>
      <c r="EJ85" s="446"/>
      <c r="EK85" s="446"/>
      <c r="EL85" s="446"/>
      <c r="EM85" s="446"/>
      <c r="EN85" s="446"/>
    </row>
    <row r="86" spans="1:144" ht="15" customHeight="1" outlineLevel="1">
      <c r="B86" s="411" t="str">
        <f>VLOOKUP("Input_3_Packaging",Hidden_Translations!$B$11:$J$1184,Hidden_Translations!$C$8,FALSE)</f>
        <v>Packaging materials</v>
      </c>
      <c r="C86" s="411"/>
      <c r="D86" s="411"/>
      <c r="E86" s="253" t="s">
        <v>249</v>
      </c>
      <c r="F86" s="253" t="s">
        <v>249</v>
      </c>
      <c r="G86" s="253" t="s">
        <v>249</v>
      </c>
      <c r="H86" s="411" t="str">
        <f>G22</f>
        <v>[Selection]</v>
      </c>
      <c r="J86" s="403"/>
      <c r="U86" s="405"/>
      <c r="V86" s="405"/>
      <c r="W86" s="405"/>
      <c r="X86" s="405"/>
      <c r="Y86" s="405"/>
      <c r="Z86" s="405"/>
      <c r="AA86" s="405"/>
      <c r="AB86" s="405"/>
      <c r="AC86" s="405"/>
      <c r="AD86" s="405"/>
      <c r="AE86" s="405"/>
      <c r="AF86" s="405"/>
      <c r="AG86" s="405"/>
      <c r="AH86" s="405"/>
      <c r="AI86" s="405"/>
      <c r="AJ86" s="405"/>
      <c r="AK86" s="405"/>
      <c r="AL86" s="405"/>
      <c r="AM86" s="405"/>
      <c r="AN86" s="405"/>
      <c r="AO86" s="405"/>
      <c r="AP86" s="405"/>
      <c r="AQ86" s="405"/>
      <c r="AR86" s="405"/>
      <c r="AS86" s="405"/>
      <c r="AT86" s="405"/>
      <c r="AU86" s="405"/>
      <c r="AV86" s="405"/>
      <c r="AW86" s="405"/>
      <c r="AX86" s="405"/>
      <c r="AY86" s="405"/>
      <c r="AZ86" s="405"/>
      <c r="BA86" s="405"/>
      <c r="BB86" s="405"/>
      <c r="BC86" s="405"/>
      <c r="BD86" s="405"/>
      <c r="BE86" s="405"/>
      <c r="BF86" s="405"/>
      <c r="BG86" s="405"/>
      <c r="BH86" s="405"/>
      <c r="BI86" s="405"/>
      <c r="BJ86" s="405"/>
      <c r="BK86" s="405"/>
      <c r="BL86" s="405"/>
      <c r="BM86" s="405"/>
      <c r="BN86" s="405"/>
      <c r="BO86" s="405"/>
      <c r="BP86" s="405"/>
      <c r="BQ86" s="405"/>
      <c r="BR86" s="405"/>
      <c r="BS86" s="405"/>
      <c r="BT86" s="405"/>
      <c r="BU86" s="405"/>
      <c r="BV86" s="405"/>
      <c r="BW86" s="405"/>
      <c r="BX86" s="405"/>
      <c r="BY86" s="405"/>
      <c r="BZ86" s="405"/>
      <c r="CA86" s="405"/>
      <c r="CB86" s="405"/>
      <c r="CC86" s="405"/>
      <c r="CD86" s="405"/>
      <c r="CE86" s="405"/>
      <c r="CF86" s="405"/>
      <c r="CG86" s="405"/>
      <c r="CH86" s="405"/>
      <c r="CI86" s="405"/>
      <c r="CJ86" s="405"/>
      <c r="CK86" s="405"/>
      <c r="CL86" s="405"/>
      <c r="CM86" s="405"/>
      <c r="CN86" s="405"/>
      <c r="CO86" s="405"/>
      <c r="CP86" s="405"/>
      <c r="CQ86" s="405"/>
      <c r="CR86" s="405"/>
      <c r="CS86" s="405"/>
      <c r="CT86" s="405"/>
      <c r="CU86" s="405"/>
      <c r="CV86" s="405"/>
      <c r="CW86" s="405"/>
      <c r="CX86" s="405"/>
      <c r="CY86" s="405"/>
      <c r="CZ86" s="405"/>
      <c r="DA86" s="405"/>
      <c r="DB86" s="405"/>
      <c r="DC86" s="405"/>
      <c r="DD86" s="405"/>
      <c r="DE86" s="405"/>
      <c r="DF86" s="405"/>
      <c r="DG86" s="405"/>
      <c r="DH86" s="405"/>
      <c r="DI86" s="405"/>
      <c r="DJ86" s="405"/>
      <c r="DK86" s="405"/>
      <c r="DL86" s="405"/>
      <c r="DM86" s="405"/>
      <c r="DN86" s="405"/>
      <c r="DO86" s="405"/>
      <c r="DP86" s="405"/>
      <c r="DQ86" s="405"/>
      <c r="DR86" s="405"/>
      <c r="DS86" s="405"/>
      <c r="DT86" s="405"/>
      <c r="DU86" s="405"/>
      <c r="DV86" s="405"/>
      <c r="DW86" s="405"/>
      <c r="DX86" s="405"/>
      <c r="DY86" s="405"/>
      <c r="DZ86" s="405"/>
      <c r="EA86" s="405"/>
      <c r="EB86" s="405"/>
      <c r="EC86" s="405"/>
      <c r="ED86" s="405"/>
      <c r="EE86" s="405"/>
      <c r="EF86" s="405"/>
      <c r="EG86" s="405"/>
      <c r="EH86" s="405"/>
      <c r="EI86" s="405"/>
      <c r="EJ86" s="405"/>
      <c r="EK86" s="405"/>
      <c r="EL86" s="405"/>
      <c r="EM86" s="405"/>
      <c r="EN86" s="405"/>
    </row>
    <row r="87" spans="1:144" ht="15" customHeight="1" outlineLevel="1">
      <c r="B87" s="411" t="str">
        <f>VLOOKUP("Input_3_Amount",Hidden_Translations!$B$11:$J$1184,Hidden_Translations!$C$8,FALSE)</f>
        <v>Amount</v>
      </c>
      <c r="C87" s="411"/>
      <c r="D87" s="411"/>
      <c r="E87" s="359">
        <v>0</v>
      </c>
      <c r="F87" s="359">
        <v>0</v>
      </c>
      <c r="G87" s="359">
        <v>0</v>
      </c>
      <c r="H87" s="420" t="str">
        <f>H64</f>
        <v>[kg]</v>
      </c>
      <c r="J87" s="403"/>
      <c r="U87" s="405"/>
      <c r="V87" s="405"/>
      <c r="W87" s="405"/>
      <c r="X87" s="405"/>
      <c r="Y87" s="405"/>
      <c r="Z87" s="405"/>
      <c r="AA87" s="405"/>
      <c r="AB87" s="405"/>
      <c r="AC87" s="405"/>
      <c r="AD87" s="405"/>
      <c r="AE87" s="405"/>
      <c r="AF87" s="405"/>
      <c r="AG87" s="405"/>
      <c r="AH87" s="405"/>
      <c r="AI87" s="405"/>
      <c r="AJ87" s="405"/>
      <c r="AK87" s="405"/>
      <c r="AL87" s="405"/>
      <c r="AM87" s="405"/>
      <c r="AN87" s="405"/>
      <c r="AO87" s="405"/>
      <c r="AP87" s="405"/>
      <c r="AQ87" s="405"/>
      <c r="AR87" s="405"/>
      <c r="AS87" s="405"/>
      <c r="AT87" s="405"/>
      <c r="AU87" s="405"/>
      <c r="AV87" s="405"/>
      <c r="AW87" s="405"/>
      <c r="AX87" s="405"/>
      <c r="AY87" s="405"/>
      <c r="AZ87" s="405"/>
      <c r="BA87" s="405"/>
      <c r="BB87" s="405"/>
      <c r="BC87" s="405"/>
      <c r="BD87" s="405"/>
      <c r="BE87" s="405"/>
      <c r="BF87" s="405"/>
      <c r="BG87" s="405"/>
      <c r="BH87" s="405"/>
      <c r="BI87" s="405"/>
      <c r="BJ87" s="405"/>
      <c r="BK87" s="405"/>
      <c r="BL87" s="405"/>
      <c r="BM87" s="405"/>
      <c r="BN87" s="405"/>
      <c r="BO87" s="405"/>
      <c r="BP87" s="405"/>
      <c r="BQ87" s="405"/>
      <c r="BR87" s="405"/>
      <c r="BS87" s="405"/>
      <c r="BT87" s="405"/>
      <c r="BU87" s="405"/>
      <c r="BV87" s="405"/>
      <c r="BW87" s="405"/>
      <c r="BX87" s="405"/>
      <c r="BY87" s="405"/>
      <c r="BZ87" s="405"/>
      <c r="CA87" s="405"/>
      <c r="CB87" s="405"/>
      <c r="CC87" s="405"/>
      <c r="CD87" s="405"/>
      <c r="CE87" s="405"/>
      <c r="CF87" s="405"/>
      <c r="CG87" s="405"/>
      <c r="CH87" s="405"/>
      <c r="CI87" s="405"/>
      <c r="CJ87" s="405"/>
      <c r="CK87" s="405"/>
      <c r="CL87" s="405"/>
      <c r="CM87" s="405"/>
      <c r="CN87" s="405"/>
      <c r="CO87" s="405"/>
      <c r="CP87" s="405"/>
      <c r="CQ87" s="405"/>
      <c r="CR87" s="405"/>
      <c r="CS87" s="405"/>
      <c r="CT87" s="405"/>
      <c r="CU87" s="405"/>
      <c r="CV87" s="405"/>
      <c r="CW87" s="405"/>
      <c r="CX87" s="405"/>
      <c r="CY87" s="405"/>
      <c r="CZ87" s="405"/>
      <c r="DA87" s="405"/>
      <c r="DB87" s="405"/>
      <c r="DC87" s="405"/>
      <c r="DD87" s="405"/>
      <c r="DE87" s="405"/>
      <c r="DF87" s="405"/>
      <c r="DG87" s="405"/>
      <c r="DH87" s="405"/>
      <c r="DI87" s="405"/>
      <c r="DJ87" s="405"/>
      <c r="DK87" s="405"/>
      <c r="DL87" s="405"/>
      <c r="DM87" s="405"/>
      <c r="DN87" s="405"/>
      <c r="DO87" s="405"/>
      <c r="DP87" s="405"/>
      <c r="DQ87" s="405"/>
      <c r="DR87" s="405"/>
      <c r="DS87" s="405"/>
      <c r="DT87" s="405"/>
      <c r="DU87" s="405"/>
      <c r="DV87" s="405"/>
      <c r="DW87" s="405"/>
      <c r="DX87" s="405"/>
      <c r="DY87" s="405"/>
      <c r="DZ87" s="405"/>
      <c r="EA87" s="405"/>
      <c r="EB87" s="405"/>
      <c r="EC87" s="405"/>
      <c r="ED87" s="405"/>
      <c r="EE87" s="405"/>
      <c r="EF87" s="405"/>
      <c r="EG87" s="405"/>
      <c r="EH87" s="405"/>
      <c r="EI87" s="405"/>
      <c r="EJ87" s="405"/>
      <c r="EK87" s="405"/>
      <c r="EL87" s="405"/>
      <c r="EM87" s="405"/>
      <c r="EN87" s="405"/>
    </row>
    <row r="88" spans="1:144" ht="15" customHeight="1" outlineLevel="1">
      <c r="G88" s="403"/>
      <c r="H88" s="403"/>
      <c r="J88" s="403"/>
      <c r="U88" s="405"/>
      <c r="V88" s="405"/>
      <c r="W88" s="405"/>
      <c r="X88" s="405"/>
      <c r="Y88" s="405"/>
      <c r="Z88" s="405"/>
      <c r="AA88" s="405"/>
      <c r="AB88" s="405"/>
      <c r="AC88" s="405"/>
      <c r="AD88" s="405"/>
      <c r="AE88" s="405"/>
      <c r="AF88" s="405"/>
      <c r="AG88" s="405"/>
      <c r="AH88" s="405"/>
      <c r="AI88" s="405"/>
      <c r="AJ88" s="405"/>
      <c r="AK88" s="405"/>
      <c r="AL88" s="405"/>
      <c r="AM88" s="405"/>
      <c r="AN88" s="405"/>
      <c r="AO88" s="405"/>
      <c r="AP88" s="405"/>
      <c r="AQ88" s="405"/>
      <c r="AR88" s="405"/>
      <c r="AS88" s="405"/>
      <c r="AT88" s="405"/>
      <c r="AU88" s="405"/>
      <c r="AV88" s="405"/>
      <c r="AW88" s="405"/>
      <c r="AX88" s="405"/>
      <c r="AY88" s="405"/>
      <c r="AZ88" s="405"/>
      <c r="BA88" s="405"/>
      <c r="BB88" s="405"/>
      <c r="BC88" s="405"/>
      <c r="BD88" s="405"/>
      <c r="BE88" s="405"/>
      <c r="BF88" s="405"/>
      <c r="BG88" s="405"/>
      <c r="BH88" s="405"/>
      <c r="BI88" s="405"/>
      <c r="BJ88" s="405"/>
      <c r="BK88" s="405"/>
      <c r="BL88" s="405"/>
      <c r="BM88" s="405"/>
      <c r="BN88" s="405"/>
      <c r="BO88" s="405"/>
      <c r="BP88" s="405"/>
      <c r="BQ88" s="405"/>
      <c r="BR88" s="405"/>
      <c r="BS88" s="405"/>
      <c r="BT88" s="405"/>
      <c r="BU88" s="405"/>
      <c r="BV88" s="405"/>
      <c r="BW88" s="405"/>
      <c r="BX88" s="405"/>
      <c r="BY88" s="405"/>
      <c r="BZ88" s="405"/>
      <c r="CA88" s="405"/>
      <c r="CB88" s="405"/>
      <c r="CC88" s="405"/>
      <c r="CD88" s="405"/>
      <c r="CE88" s="405"/>
      <c r="CF88" s="405"/>
      <c r="CG88" s="405"/>
      <c r="CH88" s="405"/>
      <c r="CI88" s="405"/>
      <c r="CJ88" s="405"/>
      <c r="CK88" s="405"/>
      <c r="CL88" s="405"/>
      <c r="CM88" s="405"/>
      <c r="CN88" s="405"/>
      <c r="CO88" s="405"/>
      <c r="CP88" s="405"/>
      <c r="CQ88" s="405"/>
      <c r="CR88" s="405"/>
      <c r="CS88" s="405"/>
      <c r="CT88" s="405"/>
      <c r="CU88" s="405"/>
      <c r="CV88" s="405"/>
      <c r="CW88" s="405"/>
      <c r="CX88" s="405"/>
      <c r="CY88" s="405"/>
      <c r="CZ88" s="405"/>
      <c r="DA88" s="405"/>
      <c r="DB88" s="405"/>
      <c r="DC88" s="405"/>
      <c r="DD88" s="405"/>
      <c r="DE88" s="405"/>
      <c r="DF88" s="405"/>
      <c r="DG88" s="405"/>
      <c r="DH88" s="405"/>
      <c r="DI88" s="405"/>
      <c r="DJ88" s="405"/>
      <c r="DK88" s="405"/>
      <c r="DL88" s="405"/>
      <c r="DM88" s="405"/>
      <c r="DN88" s="405"/>
      <c r="DO88" s="405"/>
      <c r="DP88" s="405"/>
      <c r="DQ88" s="405"/>
      <c r="DR88" s="405"/>
      <c r="DS88" s="405"/>
      <c r="DT88" s="405"/>
      <c r="DU88" s="405"/>
      <c r="DV88" s="405"/>
      <c r="DW88" s="405"/>
      <c r="DX88" s="405"/>
      <c r="DY88" s="405"/>
      <c r="DZ88" s="405"/>
      <c r="EA88" s="405"/>
      <c r="EB88" s="405"/>
      <c r="EC88" s="405"/>
      <c r="ED88" s="405"/>
      <c r="EE88" s="405"/>
      <c r="EF88" s="405"/>
      <c r="EG88" s="405"/>
      <c r="EH88" s="405"/>
      <c r="EI88" s="405"/>
      <c r="EJ88" s="405"/>
      <c r="EK88" s="405"/>
      <c r="EL88" s="405"/>
      <c r="EM88" s="405"/>
      <c r="EN88" s="405"/>
    </row>
    <row r="89" spans="1:144" ht="15" customHeight="1" outlineLevel="1">
      <c r="B89" s="420" t="str">
        <f>VLOOKUP("Input_3_Amount_Product",Hidden_Translations!$B$11:$J$1184,Hidden_Translations!$C$8,FALSE)</f>
        <v>Per batch: Food product to transport</v>
      </c>
      <c r="C89" s="411"/>
      <c r="D89" s="411"/>
      <c r="E89" s="411"/>
      <c r="F89" s="454">
        <f>SUM(F47:F48)</f>
        <v>0</v>
      </c>
      <c r="G89" s="420" t="str">
        <f>H87</f>
        <v>[kg]</v>
      </c>
      <c r="H89" s="411"/>
      <c r="J89" s="403"/>
      <c r="L89" s="441"/>
      <c r="U89" s="405"/>
      <c r="V89" s="405"/>
      <c r="W89" s="405"/>
      <c r="X89" s="405"/>
      <c r="Y89" s="405"/>
      <c r="Z89" s="405"/>
      <c r="AA89" s="405"/>
      <c r="AB89" s="405"/>
      <c r="AC89" s="405"/>
      <c r="AD89" s="405"/>
      <c r="AE89" s="405"/>
      <c r="AF89" s="405"/>
      <c r="AG89" s="405"/>
      <c r="AH89" s="405"/>
      <c r="AI89" s="405"/>
      <c r="AJ89" s="405"/>
      <c r="AK89" s="405"/>
      <c r="AL89" s="405"/>
      <c r="AM89" s="405"/>
      <c r="AN89" s="405"/>
      <c r="AO89" s="405"/>
      <c r="AP89" s="405"/>
      <c r="AQ89" s="405"/>
      <c r="AR89" s="405"/>
      <c r="AS89" s="405"/>
      <c r="AT89" s="405"/>
      <c r="AU89" s="405"/>
      <c r="AV89" s="405"/>
      <c r="AW89" s="405"/>
      <c r="AX89" s="405"/>
      <c r="AY89" s="405"/>
      <c r="AZ89" s="405"/>
      <c r="BA89" s="405"/>
      <c r="BB89" s="405"/>
      <c r="BC89" s="405"/>
      <c r="BD89" s="405"/>
      <c r="BE89" s="405"/>
      <c r="BF89" s="405"/>
      <c r="BG89" s="405"/>
      <c r="BH89" s="405"/>
      <c r="BI89" s="405"/>
      <c r="BJ89" s="405"/>
      <c r="BK89" s="405"/>
      <c r="BL89" s="405"/>
      <c r="BM89" s="405"/>
      <c r="BN89" s="405"/>
      <c r="BO89" s="405"/>
      <c r="BP89" s="405"/>
      <c r="BQ89" s="405"/>
      <c r="BR89" s="405"/>
      <c r="BS89" s="405"/>
      <c r="BT89" s="405"/>
      <c r="BU89" s="405"/>
      <c r="BV89" s="405"/>
      <c r="BW89" s="405"/>
      <c r="BX89" s="405"/>
      <c r="BY89" s="405"/>
      <c r="BZ89" s="405"/>
      <c r="CA89" s="405"/>
      <c r="CB89" s="405"/>
      <c r="CC89" s="405"/>
      <c r="CD89" s="405"/>
      <c r="CE89" s="405"/>
      <c r="CF89" s="405"/>
      <c r="CG89" s="405"/>
      <c r="CH89" s="405"/>
      <c r="CI89" s="405"/>
      <c r="CJ89" s="405"/>
      <c r="CK89" s="405"/>
      <c r="CL89" s="405"/>
      <c r="CM89" s="405"/>
      <c r="CN89" s="405"/>
      <c r="CO89" s="405"/>
      <c r="CP89" s="405"/>
      <c r="CQ89" s="405"/>
      <c r="CR89" s="405"/>
      <c r="CS89" s="405"/>
      <c r="CT89" s="405"/>
      <c r="CU89" s="405"/>
      <c r="CV89" s="405"/>
      <c r="CW89" s="405"/>
      <c r="CX89" s="405"/>
      <c r="CY89" s="405"/>
      <c r="CZ89" s="405"/>
      <c r="DA89" s="405"/>
      <c r="DB89" s="405"/>
      <c r="DC89" s="405"/>
      <c r="DD89" s="405"/>
      <c r="DE89" s="405"/>
      <c r="DF89" s="405"/>
      <c r="DG89" s="405"/>
      <c r="DH89" s="405"/>
      <c r="DI89" s="405"/>
      <c r="DJ89" s="405"/>
      <c r="DK89" s="405"/>
      <c r="DL89" s="405"/>
      <c r="DM89" s="405"/>
      <c r="DN89" s="405"/>
      <c r="DO89" s="405"/>
      <c r="DP89" s="405"/>
      <c r="DQ89" s="405"/>
      <c r="DR89" s="405"/>
      <c r="DS89" s="405"/>
      <c r="DT89" s="405"/>
      <c r="DU89" s="405"/>
      <c r="DV89" s="405"/>
      <c r="DW89" s="405"/>
      <c r="DX89" s="405"/>
      <c r="DY89" s="405"/>
      <c r="DZ89" s="405"/>
      <c r="EA89" s="405"/>
      <c r="EB89" s="405"/>
      <c r="EC89" s="405"/>
      <c r="ED89" s="405"/>
      <c r="EE89" s="405"/>
      <c r="EF89" s="405"/>
      <c r="EG89" s="405"/>
      <c r="EH89" s="405"/>
      <c r="EI89" s="405"/>
      <c r="EJ89" s="405"/>
      <c r="EK89" s="405"/>
      <c r="EL89" s="405"/>
      <c r="EM89" s="405"/>
      <c r="EN89" s="405"/>
    </row>
    <row r="90" spans="1:144" ht="15" customHeight="1" outlineLevel="1">
      <c r="B90" s="420" t="str">
        <f>VLOOKUP("Input_3_Amount_Packaging",Hidden_Translations!$B$11:$J$1184,Hidden_Translations!$C$8,FALSE)</f>
        <v>Per batch: Packaging to transport as payload</v>
      </c>
      <c r="C90" s="411"/>
      <c r="D90" s="411"/>
      <c r="E90" s="411"/>
      <c r="F90" s="454">
        <f>SUM(E87:G87)</f>
        <v>0</v>
      </c>
      <c r="G90" s="420" t="str">
        <f>H87</f>
        <v>[kg]</v>
      </c>
      <c r="H90" s="411"/>
      <c r="J90" s="403"/>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5"/>
      <c r="BO90" s="405"/>
      <c r="BP90" s="405"/>
      <c r="BQ90" s="405"/>
      <c r="BR90" s="405"/>
      <c r="BS90" s="405"/>
      <c r="BT90" s="405"/>
      <c r="BU90" s="405"/>
      <c r="BV90" s="405"/>
      <c r="BW90" s="405"/>
      <c r="BX90" s="405"/>
      <c r="BY90" s="405"/>
      <c r="BZ90" s="405"/>
      <c r="CA90" s="405"/>
      <c r="CB90" s="405"/>
      <c r="CC90" s="405"/>
      <c r="CD90" s="405"/>
      <c r="CE90" s="405"/>
      <c r="CF90" s="405"/>
      <c r="CG90" s="405"/>
      <c r="CH90" s="405"/>
      <c r="CI90" s="405"/>
      <c r="CJ90" s="405"/>
      <c r="CK90" s="405"/>
      <c r="CL90" s="405"/>
      <c r="CM90" s="405"/>
      <c r="CN90" s="405"/>
      <c r="CO90" s="405"/>
      <c r="CP90" s="405"/>
      <c r="CQ90" s="405"/>
      <c r="CR90" s="405"/>
      <c r="CS90" s="405"/>
      <c r="CT90" s="405"/>
      <c r="CU90" s="405"/>
      <c r="CV90" s="405"/>
      <c r="CW90" s="405"/>
      <c r="CX90" s="405"/>
      <c r="CY90" s="405"/>
      <c r="CZ90" s="405"/>
      <c r="DA90" s="405"/>
      <c r="DB90" s="405"/>
      <c r="DC90" s="405"/>
      <c r="DD90" s="405"/>
      <c r="DE90" s="405"/>
      <c r="DF90" s="405"/>
      <c r="DG90" s="405"/>
      <c r="DH90" s="405"/>
      <c r="DI90" s="405"/>
      <c r="DJ90" s="405"/>
      <c r="DK90" s="405"/>
      <c r="DL90" s="405"/>
      <c r="DM90" s="405"/>
      <c r="DN90" s="405"/>
      <c r="DO90" s="405"/>
      <c r="DP90" s="405"/>
      <c r="DQ90" s="405"/>
      <c r="DR90" s="405"/>
      <c r="DS90" s="405"/>
      <c r="DT90" s="405"/>
      <c r="DU90" s="405"/>
      <c r="DV90" s="405"/>
      <c r="DW90" s="405"/>
      <c r="DX90" s="405"/>
      <c r="DY90" s="405"/>
      <c r="DZ90" s="405"/>
      <c r="EA90" s="405"/>
      <c r="EB90" s="405"/>
      <c r="EC90" s="405"/>
      <c r="ED90" s="405"/>
      <c r="EE90" s="405"/>
      <c r="EF90" s="405"/>
      <c r="EG90" s="405"/>
      <c r="EH90" s="405"/>
      <c r="EI90" s="405"/>
      <c r="EJ90" s="405"/>
      <c r="EK90" s="405"/>
      <c r="EL90" s="405"/>
      <c r="EM90" s="405"/>
      <c r="EN90" s="405"/>
    </row>
    <row r="91" spans="1:144" ht="15" customHeight="1" outlineLevel="1">
      <c r="B91" s="420" t="str">
        <f>VLOOKUP("Input_3_Amount_Transport",Hidden_Translations!$B$11:$J$1184,Hidden_Translations!$C$8,FALSE)</f>
        <v>Per batch: Sum to transport as payload</v>
      </c>
      <c r="C91" s="411"/>
      <c r="D91" s="411"/>
      <c r="E91" s="411"/>
      <c r="F91" s="454">
        <f>F89+F90</f>
        <v>0</v>
      </c>
      <c r="G91" s="420" t="str">
        <f>H87</f>
        <v>[kg]</v>
      </c>
      <c r="H91" s="411"/>
      <c r="J91" s="403"/>
      <c r="U91" s="405"/>
      <c r="V91" s="405"/>
      <c r="W91" s="405"/>
      <c r="X91" s="405"/>
      <c r="Y91" s="405"/>
      <c r="Z91" s="405"/>
      <c r="AA91" s="405"/>
      <c r="AB91" s="405"/>
      <c r="AC91" s="405"/>
      <c r="AD91" s="405"/>
      <c r="AE91" s="405"/>
      <c r="AF91" s="405"/>
      <c r="AG91" s="405"/>
      <c r="AH91" s="405"/>
      <c r="AI91" s="405"/>
      <c r="AJ91" s="405"/>
      <c r="AK91" s="405"/>
      <c r="AL91" s="405"/>
      <c r="AM91" s="405"/>
      <c r="AN91" s="405"/>
      <c r="AO91" s="405"/>
      <c r="AP91" s="405"/>
      <c r="AQ91" s="405"/>
      <c r="AR91" s="405"/>
      <c r="AS91" s="405"/>
      <c r="AT91" s="405"/>
      <c r="AU91" s="405"/>
      <c r="AV91" s="405"/>
      <c r="AW91" s="405"/>
      <c r="AX91" s="405"/>
      <c r="AY91" s="405"/>
      <c r="AZ91" s="405"/>
      <c r="BA91" s="405"/>
      <c r="BB91" s="405"/>
      <c r="BC91" s="405"/>
      <c r="BD91" s="405"/>
      <c r="BE91" s="405"/>
      <c r="BF91" s="405"/>
      <c r="BG91" s="405"/>
      <c r="BH91" s="405"/>
      <c r="BI91" s="405"/>
      <c r="BJ91" s="405"/>
      <c r="BK91" s="405"/>
      <c r="BL91" s="405"/>
      <c r="BM91" s="405"/>
      <c r="BN91" s="405"/>
      <c r="BO91" s="405"/>
      <c r="BP91" s="405"/>
      <c r="BQ91" s="405"/>
      <c r="BR91" s="405"/>
      <c r="BS91" s="405"/>
      <c r="BT91" s="405"/>
      <c r="BU91" s="405"/>
      <c r="BV91" s="405"/>
      <c r="BW91" s="405"/>
      <c r="BX91" s="405"/>
      <c r="BY91" s="405"/>
      <c r="BZ91" s="405"/>
      <c r="CA91" s="405"/>
      <c r="CB91" s="405"/>
      <c r="CC91" s="405"/>
      <c r="CD91" s="405"/>
      <c r="CE91" s="405"/>
      <c r="CF91" s="405"/>
      <c r="CG91" s="405"/>
      <c r="CH91" s="405"/>
      <c r="CI91" s="405"/>
      <c r="CJ91" s="405"/>
      <c r="CK91" s="405"/>
      <c r="CL91" s="405"/>
      <c r="CM91" s="405"/>
      <c r="CN91" s="405"/>
      <c r="CO91" s="405"/>
      <c r="CP91" s="405"/>
      <c r="CQ91" s="405"/>
      <c r="CR91" s="405"/>
      <c r="CS91" s="405"/>
      <c r="CT91" s="405"/>
      <c r="CU91" s="405"/>
      <c r="CV91" s="405"/>
      <c r="CW91" s="405"/>
      <c r="CX91" s="405"/>
      <c r="CY91" s="405"/>
      <c r="CZ91" s="405"/>
      <c r="DA91" s="405"/>
      <c r="DB91" s="405"/>
      <c r="DC91" s="405"/>
      <c r="DD91" s="405"/>
      <c r="DE91" s="405"/>
      <c r="DF91" s="405"/>
      <c r="DG91" s="405"/>
      <c r="DH91" s="405"/>
      <c r="DI91" s="405"/>
      <c r="DJ91" s="405"/>
      <c r="DK91" s="405"/>
      <c r="DL91" s="405"/>
      <c r="DM91" s="405"/>
      <c r="DN91" s="405"/>
      <c r="DO91" s="405"/>
      <c r="DP91" s="405"/>
      <c r="DQ91" s="405"/>
      <c r="DR91" s="405"/>
      <c r="DS91" s="405"/>
      <c r="DT91" s="405"/>
      <c r="DU91" s="405"/>
      <c r="DV91" s="405"/>
      <c r="DW91" s="405"/>
      <c r="DX91" s="405"/>
      <c r="DY91" s="405"/>
      <c r="DZ91" s="405"/>
      <c r="EA91" s="405"/>
      <c r="EB91" s="405"/>
      <c r="EC91" s="405"/>
      <c r="ED91" s="405"/>
      <c r="EE91" s="405"/>
      <c r="EF91" s="405"/>
      <c r="EG91" s="405"/>
      <c r="EH91" s="405"/>
      <c r="EI91" s="405"/>
      <c r="EJ91" s="405"/>
      <c r="EK91" s="405"/>
      <c r="EL91" s="405"/>
      <c r="EM91" s="405"/>
      <c r="EN91" s="405"/>
    </row>
    <row r="92" spans="1:144" ht="15" customHeight="1" outlineLevel="1">
      <c r="B92" s="420" t="str">
        <f>VLOOKUP("Input_3_Amount_Total",Hidden_Translations!$B$11:$J$1184,Hidden_Translations!$C$8,FALSE)</f>
        <v>Total: Annual production (food product incl. packaging)</v>
      </c>
      <c r="C92" s="411"/>
      <c r="D92" s="411"/>
      <c r="E92" s="411"/>
      <c r="F92" s="359">
        <v>0</v>
      </c>
      <c r="G92" s="411" t="str">
        <f>VLOOKUP("Units_kga",Hidden_Translations!$B$11:$J$1184,Hidden_Translations!$C$8,FALSE)</f>
        <v>[kg/a]</v>
      </c>
      <c r="H92" s="411"/>
      <c r="J92" s="403"/>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5"/>
      <c r="AY92" s="405"/>
      <c r="AZ92" s="405"/>
      <c r="BA92" s="405"/>
      <c r="BB92" s="405"/>
      <c r="BC92" s="405"/>
      <c r="BD92" s="405"/>
      <c r="BE92" s="405"/>
      <c r="BF92" s="405"/>
      <c r="BG92" s="405"/>
      <c r="BH92" s="405"/>
      <c r="BI92" s="405"/>
      <c r="BJ92" s="405"/>
      <c r="BK92" s="405"/>
      <c r="BL92" s="405"/>
      <c r="BM92" s="405"/>
      <c r="BN92" s="405"/>
      <c r="BO92" s="405"/>
      <c r="BP92" s="405"/>
      <c r="BQ92" s="405"/>
      <c r="BR92" s="405"/>
      <c r="BS92" s="405"/>
      <c r="BT92" s="405"/>
      <c r="BU92" s="405"/>
      <c r="BV92" s="405"/>
      <c r="BW92" s="405"/>
      <c r="BX92" s="405"/>
      <c r="BY92" s="405"/>
      <c r="BZ92" s="405"/>
      <c r="CA92" s="405"/>
      <c r="CB92" s="405"/>
      <c r="CC92" s="405"/>
      <c r="CD92" s="405"/>
      <c r="CE92" s="405"/>
      <c r="CF92" s="405"/>
      <c r="CG92" s="405"/>
      <c r="CH92" s="405"/>
      <c r="CI92" s="405"/>
      <c r="CJ92" s="405"/>
      <c r="CK92" s="405"/>
      <c r="CL92" s="405"/>
      <c r="CM92" s="405"/>
      <c r="CN92" s="405"/>
      <c r="CO92" s="405"/>
      <c r="CP92" s="405"/>
      <c r="CQ92" s="405"/>
      <c r="CR92" s="405"/>
      <c r="CS92" s="405"/>
      <c r="CT92" s="405"/>
      <c r="CU92" s="405"/>
      <c r="CV92" s="405"/>
      <c r="CW92" s="405"/>
      <c r="CX92" s="405"/>
      <c r="CY92" s="405"/>
      <c r="CZ92" s="405"/>
      <c r="DA92" s="405"/>
      <c r="DB92" s="405"/>
      <c r="DC92" s="405"/>
      <c r="DD92" s="405"/>
      <c r="DE92" s="405"/>
      <c r="DF92" s="405"/>
      <c r="DG92" s="405"/>
      <c r="DH92" s="405"/>
      <c r="DI92" s="405"/>
      <c r="DJ92" s="405"/>
      <c r="DK92" s="405"/>
      <c r="DL92" s="405"/>
      <c r="DM92" s="405"/>
      <c r="DN92" s="405"/>
      <c r="DO92" s="405"/>
      <c r="DP92" s="405"/>
      <c r="DQ92" s="405"/>
      <c r="DR92" s="405"/>
      <c r="DS92" s="405"/>
      <c r="DT92" s="405"/>
      <c r="DU92" s="405"/>
      <c r="DV92" s="405"/>
      <c r="DW92" s="405"/>
      <c r="DX92" s="405"/>
      <c r="DY92" s="405"/>
      <c r="DZ92" s="405"/>
      <c r="EA92" s="405"/>
      <c r="EB92" s="405"/>
      <c r="EC92" s="405"/>
      <c r="ED92" s="405"/>
      <c r="EE92" s="405"/>
      <c r="EF92" s="405"/>
      <c r="EG92" s="405"/>
      <c r="EH92" s="405"/>
      <c r="EI92" s="405"/>
      <c r="EJ92" s="405"/>
      <c r="EK92" s="405"/>
      <c r="EL92" s="405"/>
      <c r="EM92" s="405"/>
      <c r="EN92" s="405"/>
    </row>
    <row r="93" spans="1:144" ht="15" customHeight="1" outlineLevel="1">
      <c r="B93" s="85"/>
      <c r="F93" s="463"/>
      <c r="H93" s="403"/>
      <c r="J93" s="403"/>
      <c r="U93" s="405"/>
      <c r="V93" s="405"/>
      <c r="W93" s="405"/>
      <c r="X93" s="405"/>
      <c r="Y93" s="405"/>
      <c r="Z93" s="405"/>
      <c r="AA93" s="405"/>
      <c r="AB93" s="405"/>
      <c r="AC93" s="405"/>
      <c r="AD93" s="405"/>
      <c r="AE93" s="405"/>
      <c r="AF93" s="405"/>
      <c r="AG93" s="405"/>
      <c r="AH93" s="405"/>
      <c r="AI93" s="405"/>
      <c r="AJ93" s="405"/>
      <c r="AK93" s="405"/>
      <c r="AL93" s="405"/>
      <c r="AM93" s="405"/>
      <c r="AN93" s="405"/>
      <c r="AO93" s="405"/>
      <c r="AP93" s="405"/>
      <c r="AQ93" s="405"/>
      <c r="AR93" s="405"/>
      <c r="AS93" s="405"/>
      <c r="AT93" s="405"/>
      <c r="AU93" s="405"/>
      <c r="AV93" s="405"/>
      <c r="AW93" s="405"/>
      <c r="AX93" s="405"/>
      <c r="AY93" s="405"/>
      <c r="AZ93" s="405"/>
      <c r="BA93" s="405"/>
      <c r="BB93" s="405"/>
      <c r="BC93" s="405"/>
      <c r="BD93" s="405"/>
      <c r="BE93" s="405"/>
      <c r="BF93" s="405"/>
      <c r="BG93" s="405"/>
      <c r="BH93" s="405"/>
      <c r="BI93" s="405"/>
      <c r="BJ93" s="405"/>
      <c r="BK93" s="405"/>
      <c r="BL93" s="405"/>
      <c r="BM93" s="405"/>
      <c r="BN93" s="405"/>
      <c r="BO93" s="405"/>
      <c r="BP93" s="405"/>
      <c r="BQ93" s="405"/>
      <c r="BR93" s="405"/>
      <c r="BS93" s="405"/>
      <c r="BT93" s="405"/>
      <c r="BU93" s="405"/>
      <c r="BV93" s="405"/>
      <c r="BW93" s="405"/>
      <c r="BX93" s="405"/>
      <c r="BY93" s="405"/>
      <c r="BZ93" s="405"/>
      <c r="CA93" s="405"/>
      <c r="CB93" s="405"/>
      <c r="CC93" s="405"/>
      <c r="CD93" s="405"/>
      <c r="CE93" s="405"/>
      <c r="CF93" s="405"/>
      <c r="CG93" s="405"/>
      <c r="CH93" s="405"/>
      <c r="CI93" s="405"/>
      <c r="CJ93" s="405"/>
      <c r="CK93" s="405"/>
      <c r="CL93" s="405"/>
      <c r="CM93" s="405"/>
      <c r="CN93" s="405"/>
      <c r="CO93" s="405"/>
      <c r="CP93" s="405"/>
      <c r="CQ93" s="405"/>
      <c r="CR93" s="405"/>
      <c r="CS93" s="405"/>
      <c r="CT93" s="405"/>
      <c r="CU93" s="405"/>
      <c r="CV93" s="405"/>
      <c r="CW93" s="405"/>
      <c r="CX93" s="405"/>
      <c r="CY93" s="405"/>
      <c r="CZ93" s="405"/>
      <c r="DA93" s="405"/>
      <c r="DB93" s="405"/>
      <c r="DC93" s="405"/>
      <c r="DD93" s="405"/>
      <c r="DE93" s="405"/>
      <c r="DF93" s="405"/>
      <c r="DG93" s="405"/>
      <c r="DH93" s="405"/>
      <c r="DI93" s="405"/>
      <c r="DJ93" s="405"/>
      <c r="DK93" s="405"/>
      <c r="DL93" s="405"/>
      <c r="DM93" s="405"/>
      <c r="DN93" s="405"/>
      <c r="DO93" s="405"/>
      <c r="DP93" s="405"/>
      <c r="DQ93" s="405"/>
      <c r="DR93" s="405"/>
      <c r="DS93" s="405"/>
      <c r="DT93" s="405"/>
      <c r="DU93" s="405"/>
      <c r="DV93" s="405"/>
      <c r="DW93" s="405"/>
      <c r="DX93" s="405"/>
      <c r="DY93" s="405"/>
      <c r="DZ93" s="405"/>
      <c r="EA93" s="405"/>
      <c r="EB93" s="405"/>
      <c r="EC93" s="405"/>
      <c r="ED93" s="405"/>
      <c r="EE93" s="405"/>
      <c r="EF93" s="405"/>
      <c r="EG93" s="405"/>
      <c r="EH93" s="405"/>
      <c r="EI93" s="405"/>
      <c r="EJ93" s="405"/>
      <c r="EK93" s="405"/>
      <c r="EL93" s="405"/>
      <c r="EM93" s="405"/>
      <c r="EN93" s="405"/>
    </row>
    <row r="94" spans="1:144" ht="15" customHeight="1" outlineLevel="1">
      <c r="B94" s="261" t="str">
        <f>VLOOKUP("Input_3_Amount_Storage",Hidden_Translations!$B$11:$J$1184,Hidden_Translations!$C$8,FALSE)</f>
        <v>Storage after processing</v>
      </c>
      <c r="C94" s="432"/>
      <c r="D94" s="432"/>
      <c r="E94" s="432"/>
      <c r="F94" s="464"/>
      <c r="G94" s="432"/>
      <c r="H94" s="465"/>
      <c r="J94" s="403"/>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5"/>
      <c r="AY94" s="405"/>
      <c r="AZ94" s="405"/>
      <c r="BA94" s="405"/>
      <c r="BB94" s="405"/>
      <c r="BC94" s="405"/>
      <c r="BD94" s="405"/>
      <c r="BE94" s="405"/>
      <c r="BF94" s="405"/>
      <c r="BG94" s="405"/>
      <c r="BH94" s="405"/>
      <c r="BI94" s="405"/>
      <c r="BJ94" s="405"/>
      <c r="BK94" s="405"/>
      <c r="BL94" s="405"/>
      <c r="BM94" s="405"/>
      <c r="BN94" s="405"/>
      <c r="BO94" s="405"/>
      <c r="BP94" s="405"/>
      <c r="BQ94" s="405"/>
      <c r="BR94" s="405"/>
      <c r="BS94" s="405"/>
      <c r="BT94" s="405"/>
      <c r="BU94" s="405"/>
      <c r="BV94" s="405"/>
      <c r="BW94" s="405"/>
      <c r="BX94" s="405"/>
      <c r="BY94" s="405"/>
      <c r="BZ94" s="405"/>
      <c r="CA94" s="405"/>
      <c r="CB94" s="405"/>
      <c r="CC94" s="405"/>
      <c r="CD94" s="405"/>
      <c r="CE94" s="405"/>
      <c r="CF94" s="405"/>
      <c r="CG94" s="405"/>
      <c r="CH94" s="405"/>
      <c r="CI94" s="405"/>
      <c r="CJ94" s="405"/>
      <c r="CK94" s="405"/>
      <c r="CL94" s="405"/>
      <c r="CM94" s="405"/>
      <c r="CN94" s="405"/>
      <c r="CO94" s="405"/>
      <c r="CP94" s="405"/>
      <c r="CQ94" s="405"/>
      <c r="CR94" s="405"/>
      <c r="CS94" s="405"/>
      <c r="CT94" s="405"/>
      <c r="CU94" s="405"/>
      <c r="CV94" s="405"/>
      <c r="CW94" s="405"/>
      <c r="CX94" s="405"/>
      <c r="CY94" s="405"/>
      <c r="CZ94" s="405"/>
      <c r="DA94" s="405"/>
      <c r="DB94" s="405"/>
      <c r="DC94" s="405"/>
      <c r="DD94" s="405"/>
      <c r="DE94" s="405"/>
      <c r="DF94" s="405"/>
      <c r="DG94" s="405"/>
      <c r="DH94" s="405"/>
      <c r="DI94" s="405"/>
      <c r="DJ94" s="405"/>
      <c r="DK94" s="405"/>
      <c r="DL94" s="405"/>
      <c r="DM94" s="405"/>
      <c r="DN94" s="405"/>
      <c r="DO94" s="405"/>
      <c r="DP94" s="405"/>
      <c r="DQ94" s="405"/>
      <c r="DR94" s="405"/>
      <c r="DS94" s="405"/>
      <c r="DT94" s="405"/>
      <c r="DU94" s="405"/>
      <c r="DV94" s="405"/>
      <c r="DW94" s="405"/>
      <c r="DX94" s="405"/>
      <c r="DY94" s="405"/>
      <c r="DZ94" s="405"/>
      <c r="EA94" s="405"/>
      <c r="EB94" s="405"/>
      <c r="EC94" s="405"/>
      <c r="ED94" s="405"/>
      <c r="EE94" s="405"/>
      <c r="EF94" s="405"/>
      <c r="EG94" s="405"/>
      <c r="EH94" s="405"/>
      <c r="EI94" s="405"/>
      <c r="EJ94" s="405"/>
      <c r="EK94" s="405"/>
      <c r="EL94" s="405"/>
      <c r="EM94" s="405"/>
      <c r="EN94" s="405"/>
    </row>
    <row r="95" spans="1:144" ht="15" customHeight="1" outlineLevel="1">
      <c r="B95" s="85"/>
      <c r="F95" s="463"/>
      <c r="H95" s="403"/>
      <c r="J95" s="403"/>
      <c r="U95" s="405"/>
      <c r="V95" s="405"/>
      <c r="W95" s="405"/>
      <c r="X95" s="405"/>
      <c r="Y95" s="405"/>
      <c r="Z95" s="405"/>
      <c r="AA95" s="405"/>
      <c r="AB95" s="405"/>
      <c r="AC95" s="405"/>
      <c r="AD95" s="405"/>
      <c r="AE95" s="405"/>
      <c r="AF95" s="405"/>
      <c r="AG95" s="405"/>
      <c r="AH95" s="405"/>
      <c r="AI95" s="405"/>
      <c r="AJ95" s="405"/>
      <c r="AK95" s="405"/>
      <c r="AL95" s="405"/>
      <c r="AM95" s="405"/>
      <c r="AN95" s="405"/>
      <c r="AO95" s="405"/>
      <c r="AP95" s="405"/>
      <c r="AQ95" s="405"/>
      <c r="AR95" s="405"/>
      <c r="AS95" s="405"/>
      <c r="AT95" s="405"/>
      <c r="AU95" s="405"/>
      <c r="AV95" s="405"/>
      <c r="AW95" s="405"/>
      <c r="AX95" s="405"/>
      <c r="AY95" s="405"/>
      <c r="AZ95" s="405"/>
      <c r="BA95" s="405"/>
      <c r="BB95" s="405"/>
      <c r="BC95" s="405"/>
      <c r="BD95" s="405"/>
      <c r="BE95" s="405"/>
      <c r="BF95" s="405"/>
      <c r="BG95" s="405"/>
      <c r="BH95" s="405"/>
      <c r="BI95" s="405"/>
      <c r="BJ95" s="405"/>
      <c r="BK95" s="405"/>
      <c r="BL95" s="405"/>
      <c r="BM95" s="405"/>
      <c r="BN95" s="405"/>
      <c r="BO95" s="405"/>
      <c r="BP95" s="405"/>
      <c r="BQ95" s="405"/>
      <c r="BR95" s="405"/>
      <c r="BS95" s="405"/>
      <c r="BT95" s="405"/>
      <c r="BU95" s="405"/>
      <c r="BV95" s="405"/>
      <c r="BW95" s="405"/>
      <c r="BX95" s="405"/>
      <c r="BY95" s="405"/>
      <c r="BZ95" s="405"/>
      <c r="CA95" s="405"/>
      <c r="CB95" s="405"/>
      <c r="CC95" s="405"/>
      <c r="CD95" s="405"/>
      <c r="CE95" s="405"/>
      <c r="CF95" s="405"/>
      <c r="CG95" s="405"/>
      <c r="CH95" s="405"/>
      <c r="CI95" s="405"/>
      <c r="CJ95" s="405"/>
      <c r="CK95" s="405"/>
      <c r="CL95" s="405"/>
      <c r="CM95" s="405"/>
      <c r="CN95" s="405"/>
      <c r="CO95" s="405"/>
      <c r="CP95" s="405"/>
      <c r="CQ95" s="405"/>
      <c r="CR95" s="405"/>
      <c r="CS95" s="405"/>
      <c r="CT95" s="405"/>
      <c r="CU95" s="405"/>
      <c r="CV95" s="405"/>
      <c r="CW95" s="405"/>
      <c r="CX95" s="405"/>
      <c r="CY95" s="405"/>
      <c r="CZ95" s="405"/>
      <c r="DA95" s="405"/>
      <c r="DB95" s="405"/>
      <c r="DC95" s="405"/>
      <c r="DD95" s="405"/>
      <c r="DE95" s="405"/>
      <c r="DF95" s="405"/>
      <c r="DG95" s="405"/>
      <c r="DH95" s="405"/>
      <c r="DI95" s="405"/>
      <c r="DJ95" s="405"/>
      <c r="DK95" s="405"/>
      <c r="DL95" s="405"/>
      <c r="DM95" s="405"/>
      <c r="DN95" s="405"/>
      <c r="DO95" s="405"/>
      <c r="DP95" s="405"/>
      <c r="DQ95" s="405"/>
      <c r="DR95" s="405"/>
      <c r="DS95" s="405"/>
      <c r="DT95" s="405"/>
      <c r="DU95" s="405"/>
      <c r="DV95" s="405"/>
      <c r="DW95" s="405"/>
      <c r="DX95" s="405"/>
      <c r="DY95" s="405"/>
      <c r="DZ95" s="405"/>
      <c r="EA95" s="405"/>
      <c r="EB95" s="405"/>
      <c r="EC95" s="405"/>
      <c r="ED95" s="405"/>
      <c r="EE95" s="405"/>
      <c r="EF95" s="405"/>
      <c r="EG95" s="405"/>
      <c r="EH95" s="405"/>
      <c r="EI95" s="405"/>
      <c r="EJ95" s="405"/>
      <c r="EK95" s="405"/>
      <c r="EL95" s="405"/>
      <c r="EM95" s="405"/>
      <c r="EN95" s="405"/>
    </row>
    <row r="96" spans="1:144" ht="15" customHeight="1" outlineLevel="1">
      <c r="A96" s="460"/>
      <c r="B96" s="420" t="str">
        <f>VLOOKUP("Input_3_Amount_Storage_Time",Hidden_Translations!$B$11:$J$1184,Hidden_Translations!$C$8,FALSE)</f>
        <v>Storage time of a batch at the warehouse</v>
      </c>
      <c r="C96" s="411"/>
      <c r="D96" s="411"/>
      <c r="E96" s="411"/>
      <c r="F96" s="258">
        <v>0</v>
      </c>
      <c r="G96" s="420" t="str">
        <f>VLOOKUP("Units_days",Hidden_Translations!$B$11:$J$1184,Hidden_Translations!$C$8,FALSE)</f>
        <v>[d]</v>
      </c>
      <c r="H96" s="411"/>
      <c r="J96" s="403"/>
      <c r="U96" s="405"/>
      <c r="V96" s="405"/>
      <c r="W96" s="405"/>
      <c r="X96" s="405"/>
      <c r="Y96" s="405"/>
      <c r="Z96" s="405"/>
      <c r="AA96" s="405"/>
      <c r="AB96" s="405"/>
      <c r="AC96" s="405"/>
      <c r="AD96" s="405"/>
      <c r="AE96" s="405"/>
      <c r="AF96" s="405"/>
      <c r="AG96" s="405"/>
      <c r="AH96" s="405"/>
      <c r="AI96" s="405"/>
      <c r="AJ96" s="405"/>
      <c r="AK96" s="405"/>
      <c r="AL96" s="405"/>
      <c r="AM96" s="405"/>
      <c r="AN96" s="405"/>
      <c r="AO96" s="405"/>
      <c r="AP96" s="405"/>
      <c r="AQ96" s="405"/>
      <c r="AR96" s="405"/>
      <c r="AS96" s="405"/>
      <c r="AT96" s="405"/>
      <c r="AU96" s="405"/>
      <c r="AV96" s="405"/>
      <c r="AW96" s="405"/>
      <c r="AX96" s="405"/>
      <c r="AY96" s="405"/>
      <c r="AZ96" s="405"/>
      <c r="BA96" s="405"/>
      <c r="BB96" s="405"/>
      <c r="BC96" s="405"/>
      <c r="BD96" s="405"/>
      <c r="BE96" s="405"/>
      <c r="BF96" s="405"/>
      <c r="BG96" s="405"/>
      <c r="BH96" s="405"/>
      <c r="BI96" s="405"/>
      <c r="BJ96" s="405"/>
      <c r="BK96" s="405"/>
      <c r="BL96" s="405"/>
      <c r="BM96" s="405"/>
      <c r="BN96" s="405"/>
      <c r="BO96" s="405"/>
      <c r="BP96" s="405"/>
      <c r="BQ96" s="405"/>
      <c r="BR96" s="405"/>
      <c r="BS96" s="405"/>
      <c r="BT96" s="405"/>
      <c r="BU96" s="405"/>
      <c r="BV96" s="405"/>
      <c r="BW96" s="405"/>
      <c r="BX96" s="405"/>
      <c r="BY96" s="405"/>
      <c r="BZ96" s="405"/>
      <c r="CA96" s="405"/>
      <c r="CB96" s="405"/>
      <c r="CC96" s="405"/>
      <c r="CD96" s="405"/>
      <c r="CE96" s="405"/>
      <c r="CF96" s="405"/>
      <c r="CG96" s="405"/>
      <c r="CH96" s="405"/>
      <c r="CI96" s="405"/>
      <c r="CJ96" s="405"/>
      <c r="CK96" s="405"/>
      <c r="CL96" s="405"/>
      <c r="CM96" s="405"/>
      <c r="CN96" s="405"/>
      <c r="CO96" s="405"/>
      <c r="CP96" s="405"/>
      <c r="CQ96" s="405"/>
      <c r="CR96" s="405"/>
      <c r="CS96" s="405"/>
      <c r="CT96" s="405"/>
      <c r="CU96" s="405"/>
      <c r="CV96" s="405"/>
      <c r="CW96" s="405"/>
      <c r="CX96" s="405"/>
      <c r="CY96" s="405"/>
      <c r="CZ96" s="405"/>
      <c r="DA96" s="405"/>
      <c r="DB96" s="405"/>
      <c r="DC96" s="405"/>
      <c r="DD96" s="405"/>
      <c r="DE96" s="405"/>
      <c r="DF96" s="405"/>
      <c r="DG96" s="405"/>
      <c r="DH96" s="405"/>
      <c r="DI96" s="405"/>
      <c r="DJ96" s="405"/>
      <c r="DK96" s="405"/>
      <c r="DL96" s="405"/>
      <c r="DM96" s="405"/>
      <c r="DN96" s="405"/>
      <c r="DO96" s="405"/>
      <c r="DP96" s="405"/>
      <c r="DQ96" s="405"/>
      <c r="DR96" s="405"/>
      <c r="DS96" s="405"/>
      <c r="DT96" s="405"/>
      <c r="DU96" s="405"/>
      <c r="DV96" s="405"/>
      <c r="DW96" s="405"/>
      <c r="DX96" s="405"/>
      <c r="DY96" s="405"/>
      <c r="DZ96" s="405"/>
      <c r="EA96" s="405"/>
      <c r="EB96" s="405"/>
      <c r="EC96" s="405"/>
      <c r="ED96" s="405"/>
      <c r="EE96" s="405"/>
      <c r="EF96" s="405"/>
      <c r="EG96" s="405"/>
      <c r="EH96" s="405"/>
      <c r="EI96" s="405"/>
      <c r="EJ96" s="405"/>
      <c r="EK96" s="405"/>
      <c r="EL96" s="405"/>
      <c r="EM96" s="405"/>
      <c r="EN96" s="405"/>
    </row>
    <row r="97" spans="1:144" ht="15" customHeight="1" outlineLevel="1">
      <c r="A97" s="460"/>
      <c r="B97" s="420" t="str">
        <f>VLOOKUP("Input_3_Amount_Storage_Volume",Hidden_Translations!$B$11:$J$1184,Hidden_Translations!$C$8,FALSE)</f>
        <v>Warehouse volume occupied by a batch</v>
      </c>
      <c r="C97" s="411"/>
      <c r="D97" s="411"/>
      <c r="E97" s="411"/>
      <c r="F97" s="258">
        <v>0</v>
      </c>
      <c r="G97" s="420" t="str">
        <f>G75</f>
        <v>[m³]</v>
      </c>
      <c r="H97" s="411"/>
      <c r="U97" s="405"/>
      <c r="V97" s="405"/>
      <c r="W97" s="405"/>
      <c r="X97" s="405"/>
      <c r="Y97" s="405"/>
      <c r="Z97" s="405"/>
      <c r="AA97" s="405"/>
      <c r="AB97" s="405"/>
      <c r="AC97" s="405"/>
      <c r="AD97" s="405"/>
      <c r="AE97" s="405"/>
      <c r="AF97" s="405"/>
      <c r="AG97" s="405"/>
      <c r="AH97" s="405"/>
      <c r="AI97" s="405"/>
      <c r="AJ97" s="405"/>
      <c r="AK97" s="405"/>
      <c r="AL97" s="405"/>
      <c r="AM97" s="405"/>
      <c r="AN97" s="405"/>
      <c r="AO97" s="405"/>
      <c r="AP97" s="405"/>
      <c r="AQ97" s="405"/>
      <c r="AR97" s="405"/>
      <c r="AS97" s="405"/>
      <c r="AT97" s="405"/>
      <c r="AU97" s="405"/>
      <c r="AV97" s="405"/>
      <c r="AW97" s="405"/>
      <c r="AX97" s="405"/>
      <c r="AY97" s="405"/>
      <c r="AZ97" s="405"/>
      <c r="BA97" s="405"/>
      <c r="BB97" s="405"/>
      <c r="BC97" s="405"/>
      <c r="BD97" s="405"/>
      <c r="BE97" s="405"/>
      <c r="BF97" s="405"/>
      <c r="BG97" s="405"/>
      <c r="BH97" s="405"/>
      <c r="BI97" s="405"/>
      <c r="BJ97" s="405"/>
      <c r="BK97" s="405"/>
      <c r="BL97" s="405"/>
      <c r="BM97" s="405"/>
      <c r="BN97" s="405"/>
      <c r="BO97" s="405"/>
      <c r="BP97" s="405"/>
      <c r="BQ97" s="405"/>
      <c r="BR97" s="405"/>
      <c r="BS97" s="405"/>
      <c r="BT97" s="405"/>
      <c r="BU97" s="405"/>
      <c r="BV97" s="405"/>
      <c r="BW97" s="405"/>
      <c r="BX97" s="405"/>
      <c r="BY97" s="405"/>
      <c r="BZ97" s="405"/>
      <c r="CA97" s="405"/>
      <c r="CB97" s="405"/>
      <c r="CC97" s="405"/>
      <c r="CD97" s="405"/>
      <c r="CE97" s="405"/>
      <c r="CF97" s="405"/>
      <c r="CG97" s="405"/>
      <c r="CH97" s="405"/>
      <c r="CI97" s="405"/>
      <c r="CJ97" s="405"/>
      <c r="CK97" s="405"/>
      <c r="CL97" s="405"/>
      <c r="CM97" s="405"/>
      <c r="CN97" s="405"/>
      <c r="CO97" s="405"/>
      <c r="CP97" s="405"/>
      <c r="CQ97" s="405"/>
      <c r="CR97" s="405"/>
      <c r="CS97" s="405"/>
      <c r="CT97" s="405"/>
      <c r="CU97" s="405"/>
      <c r="CV97" s="405"/>
      <c r="CW97" s="405"/>
      <c r="CX97" s="405"/>
      <c r="CY97" s="405"/>
      <c r="CZ97" s="405"/>
      <c r="DA97" s="405"/>
      <c r="DB97" s="405"/>
      <c r="DC97" s="405"/>
      <c r="DD97" s="405"/>
      <c r="DE97" s="405"/>
      <c r="DF97" s="405"/>
      <c r="DG97" s="405"/>
      <c r="DH97" s="405"/>
      <c r="DI97" s="405"/>
      <c r="DJ97" s="405"/>
      <c r="DK97" s="405"/>
      <c r="DL97" s="405"/>
      <c r="DM97" s="405"/>
      <c r="DN97" s="405"/>
      <c r="DO97" s="405"/>
      <c r="DP97" s="405"/>
      <c r="DQ97" s="405"/>
      <c r="DR97" s="405"/>
      <c r="DS97" s="405"/>
      <c r="DT97" s="405"/>
      <c r="DU97" s="405"/>
      <c r="DV97" s="405"/>
      <c r="DW97" s="405"/>
      <c r="DX97" s="405"/>
      <c r="DY97" s="405"/>
      <c r="DZ97" s="405"/>
      <c r="EA97" s="405"/>
      <c r="EB97" s="405"/>
      <c r="EC97" s="405"/>
      <c r="ED97" s="405"/>
      <c r="EE97" s="405"/>
      <c r="EF97" s="405"/>
      <c r="EG97" s="405"/>
      <c r="EH97" s="405"/>
      <c r="EI97" s="405"/>
      <c r="EJ97" s="405"/>
      <c r="EK97" s="405"/>
      <c r="EL97" s="405"/>
      <c r="EM97" s="405"/>
      <c r="EN97" s="405"/>
    </row>
    <row r="98" spans="1:144" ht="15" customHeight="1" outlineLevel="1">
      <c r="A98" s="460"/>
      <c r="B98" s="420" t="str">
        <f>VLOOKUP("Input_3_Amount_Storage_Size",Hidden_Translations!$B$11:$J$1184,Hidden_Translations!$C$8,FALSE)</f>
        <v>Total size of storage</v>
      </c>
      <c r="C98" s="411"/>
      <c r="D98" s="411"/>
      <c r="E98" s="411"/>
      <c r="F98" s="258">
        <v>0</v>
      </c>
      <c r="G98" s="411" t="str">
        <f>G75</f>
        <v>[m³]</v>
      </c>
      <c r="H98" s="411"/>
      <c r="U98" s="405"/>
      <c r="V98" s="405"/>
      <c r="W98" s="405"/>
      <c r="X98" s="405"/>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5"/>
      <c r="AY98" s="405"/>
      <c r="AZ98" s="405"/>
      <c r="BA98" s="405"/>
      <c r="BB98" s="405"/>
      <c r="BC98" s="405"/>
      <c r="BD98" s="405"/>
      <c r="BE98" s="405"/>
      <c r="BF98" s="405"/>
      <c r="BG98" s="405"/>
      <c r="BH98" s="405"/>
      <c r="BI98" s="405"/>
      <c r="BJ98" s="405"/>
      <c r="BK98" s="405"/>
      <c r="BL98" s="405"/>
      <c r="BM98" s="405"/>
      <c r="BN98" s="405"/>
      <c r="BO98" s="405"/>
      <c r="BP98" s="405"/>
      <c r="BQ98" s="405"/>
      <c r="BR98" s="405"/>
      <c r="BS98" s="405"/>
      <c r="BT98" s="405"/>
      <c r="BU98" s="405"/>
      <c r="BV98" s="405"/>
      <c r="BW98" s="405"/>
      <c r="BX98" s="405"/>
      <c r="BY98" s="405"/>
      <c r="BZ98" s="405"/>
      <c r="CA98" s="405"/>
      <c r="CB98" s="405"/>
      <c r="CC98" s="405"/>
      <c r="CD98" s="405"/>
      <c r="CE98" s="405"/>
      <c r="CF98" s="405"/>
      <c r="CG98" s="405"/>
      <c r="CH98" s="405"/>
      <c r="CI98" s="405"/>
      <c r="CJ98" s="405"/>
      <c r="CK98" s="405"/>
      <c r="CL98" s="405"/>
      <c r="CM98" s="405"/>
      <c r="CN98" s="405"/>
      <c r="CO98" s="405"/>
      <c r="CP98" s="405"/>
      <c r="CQ98" s="405"/>
      <c r="CR98" s="405"/>
      <c r="CS98" s="405"/>
      <c r="CT98" s="405"/>
      <c r="CU98" s="405"/>
      <c r="CV98" s="405"/>
      <c r="CW98" s="405"/>
      <c r="CX98" s="405"/>
      <c r="CY98" s="405"/>
      <c r="CZ98" s="405"/>
      <c r="DA98" s="405"/>
      <c r="DB98" s="405"/>
      <c r="DC98" s="405"/>
      <c r="DD98" s="405"/>
      <c r="DE98" s="405"/>
      <c r="DF98" s="405"/>
      <c r="DG98" s="405"/>
      <c r="DH98" s="405"/>
      <c r="DI98" s="405"/>
      <c r="DJ98" s="405"/>
      <c r="DK98" s="405"/>
      <c r="DL98" s="405"/>
      <c r="DM98" s="405"/>
      <c r="DN98" s="405"/>
      <c r="DO98" s="405"/>
      <c r="DP98" s="405"/>
      <c r="DQ98" s="405"/>
      <c r="DR98" s="405"/>
      <c r="DS98" s="405"/>
      <c r="DT98" s="405"/>
      <c r="DU98" s="405"/>
      <c r="DV98" s="405"/>
      <c r="DW98" s="405"/>
      <c r="DX98" s="405"/>
      <c r="DY98" s="405"/>
      <c r="DZ98" s="405"/>
      <c r="EA98" s="405"/>
      <c r="EB98" s="405"/>
      <c r="EC98" s="405"/>
      <c r="ED98" s="405"/>
      <c r="EE98" s="405"/>
      <c r="EF98" s="405"/>
      <c r="EG98" s="405"/>
      <c r="EH98" s="405"/>
      <c r="EI98" s="405"/>
      <c r="EJ98" s="405"/>
      <c r="EK98" s="405"/>
      <c r="EL98" s="405"/>
      <c r="EM98" s="405"/>
      <c r="EN98" s="405"/>
    </row>
    <row r="99" spans="1:144" ht="15" customHeight="1" outlineLevel="1">
      <c r="A99" s="460"/>
      <c r="B99" s="444"/>
      <c r="F99" s="87"/>
      <c r="H99" s="403"/>
      <c r="U99" s="405"/>
      <c r="V99" s="405"/>
      <c r="W99" s="405"/>
      <c r="X99" s="405"/>
      <c r="Y99" s="405"/>
      <c r="Z99" s="405"/>
      <c r="AA99" s="405"/>
      <c r="AB99" s="405"/>
      <c r="AC99" s="405"/>
      <c r="AD99" s="405"/>
      <c r="AE99" s="405"/>
      <c r="AF99" s="405"/>
      <c r="AG99" s="405"/>
      <c r="AH99" s="405"/>
      <c r="AI99" s="405"/>
      <c r="AJ99" s="405"/>
      <c r="AK99" s="405"/>
      <c r="AL99" s="405"/>
      <c r="AM99" s="405"/>
      <c r="AN99" s="405"/>
      <c r="AO99" s="405"/>
      <c r="AP99" s="405"/>
      <c r="AQ99" s="405"/>
      <c r="AR99" s="405"/>
      <c r="AS99" s="405"/>
      <c r="AT99" s="405"/>
      <c r="AU99" s="405"/>
      <c r="AV99" s="405"/>
      <c r="AW99" s="405"/>
      <c r="AX99" s="405"/>
      <c r="AY99" s="405"/>
      <c r="AZ99" s="405"/>
      <c r="BA99" s="405"/>
      <c r="BB99" s="405"/>
      <c r="BC99" s="405"/>
      <c r="BD99" s="405"/>
      <c r="BE99" s="405"/>
      <c r="BF99" s="405"/>
      <c r="BG99" s="405"/>
      <c r="BH99" s="405"/>
      <c r="BI99" s="405"/>
      <c r="BJ99" s="405"/>
      <c r="BK99" s="405"/>
      <c r="BL99" s="405"/>
      <c r="BM99" s="405"/>
      <c r="BN99" s="405"/>
      <c r="BO99" s="405"/>
      <c r="BP99" s="405"/>
      <c r="BQ99" s="405"/>
      <c r="BR99" s="405"/>
      <c r="BS99" s="405"/>
      <c r="BT99" s="405"/>
      <c r="BU99" s="405"/>
      <c r="BV99" s="405"/>
      <c r="BW99" s="405"/>
      <c r="BX99" s="405"/>
      <c r="BY99" s="405"/>
      <c r="BZ99" s="405"/>
      <c r="CA99" s="405"/>
      <c r="CB99" s="405"/>
      <c r="CC99" s="405"/>
      <c r="CD99" s="405"/>
      <c r="CE99" s="405"/>
      <c r="CF99" s="405"/>
      <c r="CG99" s="405"/>
      <c r="CH99" s="405"/>
      <c r="CI99" s="405"/>
      <c r="CJ99" s="405"/>
      <c r="CK99" s="405"/>
      <c r="CL99" s="405"/>
      <c r="CM99" s="405"/>
      <c r="CN99" s="405"/>
      <c r="CO99" s="405"/>
      <c r="CP99" s="405"/>
      <c r="CQ99" s="405"/>
      <c r="CR99" s="405"/>
      <c r="CS99" s="405"/>
      <c r="CT99" s="405"/>
      <c r="CU99" s="405"/>
      <c r="CV99" s="405"/>
      <c r="CW99" s="405"/>
      <c r="CX99" s="405"/>
      <c r="CY99" s="405"/>
      <c r="CZ99" s="405"/>
      <c r="DA99" s="405"/>
      <c r="DB99" s="405"/>
      <c r="DC99" s="405"/>
      <c r="DD99" s="405"/>
      <c r="DE99" s="405"/>
      <c r="DF99" s="405"/>
      <c r="DG99" s="405"/>
      <c r="DH99" s="405"/>
      <c r="DI99" s="405"/>
      <c r="DJ99" s="405"/>
      <c r="DK99" s="405"/>
      <c r="DL99" s="405"/>
      <c r="DM99" s="405"/>
      <c r="DN99" s="405"/>
      <c r="DO99" s="405"/>
      <c r="DP99" s="405"/>
      <c r="DQ99" s="405"/>
      <c r="DR99" s="405"/>
      <c r="DS99" s="405"/>
      <c r="DT99" s="405"/>
      <c r="DU99" s="405"/>
      <c r="DV99" s="405"/>
      <c r="DW99" s="405"/>
      <c r="DX99" s="405"/>
      <c r="DY99" s="405"/>
      <c r="DZ99" s="405"/>
      <c r="EA99" s="405"/>
      <c r="EB99" s="405"/>
      <c r="EC99" s="405"/>
      <c r="ED99" s="405"/>
      <c r="EE99" s="405"/>
      <c r="EF99" s="405"/>
      <c r="EG99" s="405"/>
      <c r="EH99" s="405"/>
      <c r="EI99" s="405"/>
      <c r="EJ99" s="405"/>
      <c r="EK99" s="405"/>
      <c r="EL99" s="405"/>
      <c r="EM99" s="405"/>
      <c r="EN99" s="405"/>
    </row>
    <row r="100" spans="1:144" ht="15" customHeight="1" outlineLevel="1">
      <c r="A100" s="460"/>
      <c r="B100" s="420" t="str">
        <f>VLOOKUP("Input_3_Amount_Electricity",Hidden_Translations!$B$11:$J$1184,Hidden_Translations!$C$8,FALSE)</f>
        <v>Electricity from the grid</v>
      </c>
      <c r="C100" s="411"/>
      <c r="D100" s="411"/>
      <c r="E100" s="420" t="str">
        <f>VLOOKUP("Input_3_Amount_ConsumptionAnnual",Hidden_Translations!$B$11:$J$1184,Hidden_Translations!$C$8,FALSE)</f>
        <v>Consumption per year:</v>
      </c>
      <c r="F100" s="258">
        <v>0</v>
      </c>
      <c r="G100" s="420" t="str">
        <f>H73</f>
        <v>[kWh]</v>
      </c>
      <c r="H100" s="411"/>
      <c r="J100" s="403"/>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5"/>
      <c r="AY100" s="405"/>
      <c r="AZ100" s="405"/>
      <c r="BA100" s="405"/>
      <c r="BB100" s="405"/>
      <c r="BC100" s="405"/>
      <c r="BD100" s="405"/>
      <c r="BE100" s="405"/>
      <c r="BF100" s="405"/>
      <c r="BG100" s="405"/>
      <c r="BH100" s="405"/>
      <c r="BI100" s="405"/>
      <c r="BJ100" s="405"/>
      <c r="BK100" s="405"/>
      <c r="BL100" s="405"/>
      <c r="BM100" s="405"/>
      <c r="BN100" s="405"/>
      <c r="BO100" s="405"/>
      <c r="BP100" s="405"/>
      <c r="BQ100" s="405"/>
      <c r="BR100" s="405"/>
      <c r="BS100" s="405"/>
      <c r="BT100" s="405"/>
      <c r="BU100" s="405"/>
      <c r="BV100" s="405"/>
      <c r="BW100" s="405"/>
      <c r="BX100" s="405"/>
      <c r="BY100" s="405"/>
      <c r="BZ100" s="405"/>
      <c r="CA100" s="405"/>
      <c r="CB100" s="405"/>
      <c r="CC100" s="405"/>
      <c r="CD100" s="405"/>
      <c r="CE100" s="405"/>
      <c r="CF100" s="405"/>
      <c r="CG100" s="405"/>
      <c r="CH100" s="405"/>
      <c r="CI100" s="405"/>
      <c r="CJ100" s="405"/>
      <c r="CK100" s="405"/>
      <c r="CL100" s="405"/>
      <c r="CM100" s="405"/>
      <c r="CN100" s="405"/>
      <c r="CO100" s="405"/>
      <c r="CP100" s="405"/>
      <c r="CQ100" s="405"/>
      <c r="CR100" s="405"/>
      <c r="CS100" s="405"/>
      <c r="CT100" s="405"/>
      <c r="CU100" s="405"/>
      <c r="CV100" s="405"/>
      <c r="CW100" s="405"/>
      <c r="CX100" s="405"/>
      <c r="CY100" s="405"/>
      <c r="CZ100" s="405"/>
      <c r="DA100" s="405"/>
      <c r="DB100" s="405"/>
      <c r="DC100" s="405"/>
      <c r="DD100" s="405"/>
      <c r="DE100" s="405"/>
      <c r="DF100" s="405"/>
      <c r="DG100" s="405"/>
      <c r="DH100" s="405"/>
      <c r="DI100" s="405"/>
      <c r="DJ100" s="405"/>
      <c r="DK100" s="405"/>
      <c r="DL100" s="405"/>
      <c r="DM100" s="405"/>
      <c r="DN100" s="405"/>
      <c r="DO100" s="405"/>
      <c r="DP100" s="405"/>
      <c r="DQ100" s="405"/>
      <c r="DR100" s="405"/>
      <c r="DS100" s="405"/>
      <c r="DT100" s="405"/>
      <c r="DU100" s="405"/>
      <c r="DV100" s="405"/>
      <c r="DW100" s="405"/>
      <c r="DX100" s="405"/>
      <c r="DY100" s="405"/>
      <c r="DZ100" s="405"/>
      <c r="EA100" s="405"/>
      <c r="EB100" s="405"/>
      <c r="EC100" s="405"/>
      <c r="ED100" s="405"/>
      <c r="EE100" s="405"/>
      <c r="EF100" s="405"/>
      <c r="EG100" s="405"/>
      <c r="EH100" s="405"/>
      <c r="EI100" s="405"/>
      <c r="EJ100" s="405"/>
      <c r="EK100" s="405"/>
      <c r="EL100" s="405"/>
      <c r="EM100" s="405"/>
      <c r="EN100" s="405"/>
    </row>
    <row r="101" spans="1:144" ht="15" customHeight="1" outlineLevel="1">
      <c r="A101" s="460"/>
      <c r="B101" s="256"/>
      <c r="C101" s="411" t="str">
        <f>G22</f>
        <v>[Selection]</v>
      </c>
      <c r="D101" s="411"/>
      <c r="E101" s="411" t="str">
        <f>E100</f>
        <v>Consumption per year:</v>
      </c>
      <c r="F101" s="258">
        <v>0</v>
      </c>
      <c r="G101" s="411" t="str">
        <f>VLOOKUP(B101,Hidden_Database!$C$11:$I$75,3,FALSE)</f>
        <v>[kg]</v>
      </c>
      <c r="H101" s="411"/>
      <c r="J101" s="403"/>
      <c r="U101" s="405"/>
      <c r="V101" s="405"/>
      <c r="W101" s="405"/>
      <c r="X101" s="405"/>
      <c r="Y101" s="405"/>
      <c r="Z101" s="405"/>
      <c r="AA101" s="405"/>
      <c r="AB101" s="405"/>
      <c r="AC101" s="405"/>
      <c r="AD101" s="405"/>
      <c r="AE101" s="405"/>
      <c r="AF101" s="405"/>
      <c r="AG101" s="405"/>
      <c r="AH101" s="405"/>
      <c r="AI101" s="405"/>
      <c r="AJ101" s="405"/>
      <c r="AK101" s="405"/>
      <c r="AL101" s="405"/>
      <c r="AM101" s="405"/>
      <c r="AN101" s="405"/>
      <c r="AO101" s="405"/>
      <c r="AP101" s="405"/>
      <c r="AQ101" s="405"/>
      <c r="AR101" s="405"/>
      <c r="AS101" s="405"/>
      <c r="AT101" s="405"/>
      <c r="AU101" s="405"/>
      <c r="AV101" s="405"/>
      <c r="AW101" s="405"/>
      <c r="AX101" s="405"/>
      <c r="AY101" s="405"/>
      <c r="AZ101" s="405"/>
      <c r="BA101" s="405"/>
      <c r="BB101" s="405"/>
      <c r="BC101" s="405"/>
      <c r="BD101" s="405"/>
      <c r="BE101" s="405"/>
      <c r="BF101" s="405"/>
      <c r="BG101" s="405"/>
      <c r="BH101" s="405"/>
      <c r="BI101" s="405"/>
      <c r="BJ101" s="405"/>
      <c r="BK101" s="405"/>
      <c r="BL101" s="405"/>
      <c r="BM101" s="405"/>
      <c r="BN101" s="405"/>
      <c r="BO101" s="405"/>
      <c r="BP101" s="405"/>
      <c r="BQ101" s="405"/>
      <c r="BR101" s="405"/>
      <c r="BS101" s="405"/>
      <c r="BT101" s="405"/>
      <c r="BU101" s="405"/>
      <c r="BV101" s="405"/>
      <c r="BW101" s="405"/>
      <c r="BX101" s="405"/>
      <c r="BY101" s="405"/>
      <c r="BZ101" s="405"/>
      <c r="CA101" s="405"/>
      <c r="CB101" s="405"/>
      <c r="CC101" s="405"/>
      <c r="CD101" s="405"/>
      <c r="CE101" s="405"/>
      <c r="CF101" s="405"/>
      <c r="CG101" s="405"/>
      <c r="CH101" s="405"/>
      <c r="CI101" s="405"/>
      <c r="CJ101" s="405"/>
      <c r="CK101" s="405"/>
      <c r="CL101" s="405"/>
      <c r="CM101" s="405"/>
      <c r="CN101" s="405"/>
      <c r="CO101" s="405"/>
      <c r="CP101" s="405"/>
      <c r="CQ101" s="405"/>
      <c r="CR101" s="405"/>
      <c r="CS101" s="405"/>
      <c r="CT101" s="405"/>
      <c r="CU101" s="405"/>
      <c r="CV101" s="405"/>
      <c r="CW101" s="405"/>
      <c r="CX101" s="405"/>
      <c r="CY101" s="405"/>
      <c r="CZ101" s="405"/>
      <c r="DA101" s="405"/>
      <c r="DB101" s="405"/>
      <c r="DC101" s="405"/>
      <c r="DD101" s="405"/>
      <c r="DE101" s="405"/>
      <c r="DF101" s="405"/>
      <c r="DG101" s="405"/>
      <c r="DH101" s="405"/>
      <c r="DI101" s="405"/>
      <c r="DJ101" s="405"/>
      <c r="DK101" s="405"/>
      <c r="DL101" s="405"/>
      <c r="DM101" s="405"/>
      <c r="DN101" s="405"/>
      <c r="DO101" s="405"/>
      <c r="DP101" s="405"/>
      <c r="DQ101" s="405"/>
      <c r="DR101" s="405"/>
      <c r="DS101" s="405"/>
      <c r="DT101" s="405"/>
      <c r="DU101" s="405"/>
      <c r="DV101" s="405"/>
      <c r="DW101" s="405"/>
      <c r="DX101" s="405"/>
      <c r="DY101" s="405"/>
      <c r="DZ101" s="405"/>
      <c r="EA101" s="405"/>
      <c r="EB101" s="405"/>
      <c r="EC101" s="405"/>
      <c r="ED101" s="405"/>
      <c r="EE101" s="405"/>
      <c r="EF101" s="405"/>
      <c r="EG101" s="405"/>
      <c r="EH101" s="405"/>
      <c r="EI101" s="405"/>
      <c r="EJ101" s="405"/>
      <c r="EK101" s="405"/>
      <c r="EL101" s="405"/>
      <c r="EM101" s="405"/>
      <c r="EN101" s="405"/>
    </row>
    <row r="102" spans="1:144" ht="15" customHeight="1" outlineLevel="1">
      <c r="A102" s="460"/>
      <c r="B102" s="256"/>
      <c r="C102" s="411" t="str">
        <f>G22</f>
        <v>[Selection]</v>
      </c>
      <c r="D102" s="411"/>
      <c r="E102" s="420" t="str">
        <f>E100</f>
        <v>Consumption per year:</v>
      </c>
      <c r="F102" s="258">
        <v>0</v>
      </c>
      <c r="G102" s="411" t="str">
        <f>VLOOKUP(B102,Hidden_Database!$C$11:$I$75,3,FALSE)</f>
        <v>[kg]</v>
      </c>
      <c r="H102" s="411"/>
      <c r="J102" s="403"/>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c r="AY102" s="405"/>
      <c r="AZ102" s="405"/>
      <c r="BA102" s="405"/>
      <c r="BB102" s="405"/>
      <c r="BC102" s="405"/>
      <c r="BD102" s="405"/>
      <c r="BE102" s="405"/>
      <c r="BF102" s="405"/>
      <c r="BG102" s="405"/>
      <c r="BH102" s="405"/>
      <c r="BI102" s="405"/>
      <c r="BJ102" s="405"/>
      <c r="BK102" s="405"/>
      <c r="BL102" s="405"/>
      <c r="BM102" s="405"/>
      <c r="BN102" s="405"/>
      <c r="BO102" s="405"/>
      <c r="BP102" s="405"/>
      <c r="BQ102" s="405"/>
      <c r="BR102" s="405"/>
      <c r="BS102" s="405"/>
      <c r="BT102" s="405"/>
      <c r="BU102" s="405"/>
      <c r="BV102" s="405"/>
      <c r="BW102" s="405"/>
      <c r="BX102" s="405"/>
      <c r="BY102" s="405"/>
      <c r="BZ102" s="405"/>
      <c r="CA102" s="405"/>
      <c r="CB102" s="405"/>
      <c r="CC102" s="405"/>
      <c r="CD102" s="405"/>
      <c r="CE102" s="405"/>
      <c r="CF102" s="405"/>
      <c r="CG102" s="405"/>
      <c r="CH102" s="405"/>
      <c r="CI102" s="405"/>
      <c r="CJ102" s="405"/>
      <c r="CK102" s="405"/>
      <c r="CL102" s="405"/>
      <c r="CM102" s="405"/>
      <c r="CN102" s="405"/>
      <c r="CO102" s="405"/>
      <c r="CP102" s="405"/>
      <c r="CQ102" s="405"/>
      <c r="CR102" s="405"/>
      <c r="CS102" s="405"/>
      <c r="CT102" s="405"/>
      <c r="CU102" s="405"/>
      <c r="CV102" s="405"/>
      <c r="CW102" s="405"/>
      <c r="CX102" s="405"/>
      <c r="CY102" s="405"/>
      <c r="CZ102" s="405"/>
      <c r="DA102" s="405"/>
      <c r="DB102" s="405"/>
      <c r="DC102" s="405"/>
      <c r="DD102" s="405"/>
      <c r="DE102" s="405"/>
      <c r="DF102" s="405"/>
      <c r="DG102" s="405"/>
      <c r="DH102" s="405"/>
      <c r="DI102" s="405"/>
      <c r="DJ102" s="405"/>
      <c r="DK102" s="405"/>
      <c r="DL102" s="405"/>
      <c r="DM102" s="405"/>
      <c r="DN102" s="405"/>
      <c r="DO102" s="405"/>
      <c r="DP102" s="405"/>
      <c r="DQ102" s="405"/>
      <c r="DR102" s="405"/>
      <c r="DS102" s="405"/>
      <c r="DT102" s="405"/>
      <c r="DU102" s="405"/>
      <c r="DV102" s="405"/>
      <c r="DW102" s="405"/>
      <c r="DX102" s="405"/>
      <c r="DY102" s="405"/>
      <c r="DZ102" s="405"/>
      <c r="EA102" s="405"/>
      <c r="EB102" s="405"/>
      <c r="EC102" s="405"/>
      <c r="ED102" s="405"/>
      <c r="EE102" s="405"/>
      <c r="EF102" s="405"/>
      <c r="EG102" s="405"/>
      <c r="EH102" s="405"/>
      <c r="EI102" s="405"/>
      <c r="EJ102" s="405"/>
      <c r="EK102" s="405"/>
      <c r="EL102" s="405"/>
      <c r="EM102" s="405"/>
      <c r="EN102" s="405"/>
    </row>
    <row r="103" spans="1:144" s="413" customFormat="1" ht="15" customHeight="1" outlineLevel="1">
      <c r="A103" s="460"/>
      <c r="B103" s="445"/>
      <c r="F103" s="466"/>
      <c r="H103" s="404"/>
      <c r="J103" s="404"/>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446"/>
      <c r="BA103" s="446"/>
      <c r="BB103" s="446"/>
      <c r="BC103" s="446"/>
      <c r="BD103" s="446"/>
      <c r="BE103" s="446"/>
      <c r="BF103" s="446"/>
      <c r="BG103" s="446"/>
      <c r="BH103" s="446"/>
      <c r="BI103" s="446"/>
      <c r="BJ103" s="446"/>
      <c r="BK103" s="446"/>
      <c r="BL103" s="446"/>
      <c r="BM103" s="446"/>
      <c r="BN103" s="446"/>
      <c r="BO103" s="446"/>
      <c r="BP103" s="446"/>
      <c r="BQ103" s="446"/>
      <c r="BR103" s="446"/>
      <c r="BS103" s="446"/>
      <c r="BT103" s="446"/>
      <c r="BU103" s="446"/>
      <c r="BV103" s="446"/>
      <c r="BW103" s="446"/>
      <c r="BX103" s="446"/>
      <c r="BY103" s="446"/>
      <c r="BZ103" s="446"/>
      <c r="CA103" s="446"/>
      <c r="CB103" s="446"/>
      <c r="CC103" s="446"/>
      <c r="CD103" s="446"/>
      <c r="CE103" s="446"/>
      <c r="CF103" s="446"/>
      <c r="CG103" s="446"/>
      <c r="CH103" s="446"/>
      <c r="CI103" s="446"/>
      <c r="CJ103" s="446"/>
      <c r="CK103" s="446"/>
      <c r="CL103" s="446"/>
      <c r="CM103" s="446"/>
      <c r="CN103" s="446"/>
      <c r="CO103" s="446"/>
      <c r="CP103" s="446"/>
      <c r="CQ103" s="446"/>
      <c r="CR103" s="446"/>
      <c r="CS103" s="446"/>
      <c r="CT103" s="446"/>
      <c r="CU103" s="446"/>
      <c r="CV103" s="446"/>
      <c r="CW103" s="446"/>
      <c r="CX103" s="446"/>
      <c r="CY103" s="446"/>
      <c r="CZ103" s="446"/>
      <c r="DA103" s="446"/>
      <c r="DB103" s="446"/>
      <c r="DC103" s="446"/>
      <c r="DD103" s="446"/>
      <c r="DE103" s="446"/>
      <c r="DF103" s="446"/>
      <c r="DG103" s="446"/>
      <c r="DH103" s="446"/>
      <c r="DI103" s="446"/>
      <c r="DJ103" s="446"/>
      <c r="DK103" s="446"/>
      <c r="DL103" s="446"/>
      <c r="DM103" s="446"/>
      <c r="DN103" s="446"/>
      <c r="DO103" s="446"/>
      <c r="DP103" s="446"/>
      <c r="DQ103" s="446"/>
      <c r="DR103" s="446"/>
      <c r="DS103" s="446"/>
      <c r="DT103" s="446"/>
      <c r="DU103" s="446"/>
      <c r="DV103" s="446"/>
      <c r="DW103" s="446"/>
      <c r="DX103" s="446"/>
      <c r="DY103" s="446"/>
      <c r="DZ103" s="446"/>
      <c r="EA103" s="446"/>
      <c r="EB103" s="446"/>
      <c r="EC103" s="446"/>
      <c r="ED103" s="446"/>
      <c r="EE103" s="446"/>
      <c r="EF103" s="446"/>
      <c r="EG103" s="446"/>
      <c r="EH103" s="446"/>
      <c r="EI103" s="446"/>
      <c r="EJ103" s="446"/>
      <c r="EK103" s="446"/>
      <c r="EL103" s="446"/>
      <c r="EM103" s="446"/>
      <c r="EN103" s="446"/>
    </row>
    <row r="104" spans="1:144" ht="15" customHeight="1" outlineLevel="1">
      <c r="A104" s="460"/>
      <c r="B104" s="411" t="str">
        <f>B75</f>
        <v>Water consumption per year</v>
      </c>
      <c r="C104" s="411"/>
      <c r="D104" s="411"/>
      <c r="E104" s="411" t="str">
        <f>E102</f>
        <v>Consumption per year:</v>
      </c>
      <c r="F104" s="258">
        <v>0</v>
      </c>
      <c r="G104" s="411" t="str">
        <f>G75</f>
        <v>[m³]</v>
      </c>
      <c r="H104" s="411"/>
      <c r="J104" s="403"/>
      <c r="U104" s="405"/>
      <c r="V104" s="405"/>
      <c r="W104" s="405"/>
      <c r="X104" s="405"/>
      <c r="Y104" s="405"/>
      <c r="Z104" s="405"/>
      <c r="AA104" s="405"/>
      <c r="AB104" s="405"/>
      <c r="AC104" s="405"/>
      <c r="AD104" s="405"/>
      <c r="AE104" s="405"/>
      <c r="AF104" s="405"/>
      <c r="AG104" s="405"/>
      <c r="AH104" s="405"/>
      <c r="AI104" s="405"/>
      <c r="AJ104" s="405"/>
      <c r="AK104" s="405"/>
      <c r="AL104" s="405"/>
      <c r="AM104" s="405"/>
      <c r="AN104" s="405"/>
      <c r="AO104" s="405"/>
      <c r="AP104" s="405"/>
      <c r="AQ104" s="405"/>
      <c r="AR104" s="405"/>
      <c r="AS104" s="405"/>
      <c r="AT104" s="405"/>
      <c r="AU104" s="405"/>
      <c r="AV104" s="405"/>
      <c r="AW104" s="405"/>
      <c r="AX104" s="405"/>
      <c r="AY104" s="405"/>
      <c r="AZ104" s="405"/>
      <c r="BA104" s="405"/>
      <c r="BB104" s="405"/>
      <c r="BC104" s="405"/>
      <c r="BD104" s="405"/>
      <c r="BE104" s="405"/>
      <c r="BF104" s="405"/>
      <c r="BG104" s="405"/>
      <c r="BH104" s="405"/>
      <c r="BI104" s="405"/>
      <c r="BJ104" s="405"/>
      <c r="BK104" s="405"/>
      <c r="BL104" s="405"/>
      <c r="BM104" s="405"/>
      <c r="BN104" s="405"/>
      <c r="BO104" s="405"/>
      <c r="BP104" s="405"/>
      <c r="BQ104" s="405"/>
      <c r="BR104" s="405"/>
      <c r="BS104" s="405"/>
      <c r="BT104" s="405"/>
      <c r="BU104" s="405"/>
      <c r="BV104" s="405"/>
      <c r="BW104" s="405"/>
      <c r="BX104" s="405"/>
      <c r="BY104" s="405"/>
      <c r="BZ104" s="405"/>
      <c r="CA104" s="405"/>
      <c r="CB104" s="405"/>
      <c r="CC104" s="405"/>
      <c r="CD104" s="405"/>
      <c r="CE104" s="405"/>
      <c r="CF104" s="405"/>
      <c r="CG104" s="405"/>
      <c r="CH104" s="405"/>
      <c r="CI104" s="405"/>
      <c r="CJ104" s="405"/>
      <c r="CK104" s="405"/>
      <c r="CL104" s="405"/>
      <c r="CM104" s="405"/>
      <c r="CN104" s="405"/>
      <c r="CO104" s="405"/>
      <c r="CP104" s="405"/>
      <c r="CQ104" s="405"/>
      <c r="CR104" s="405"/>
      <c r="CS104" s="405"/>
      <c r="CT104" s="405"/>
      <c r="CU104" s="405"/>
      <c r="CV104" s="405"/>
      <c r="CW104" s="405"/>
      <c r="CX104" s="405"/>
      <c r="CY104" s="405"/>
      <c r="CZ104" s="405"/>
      <c r="DA104" s="405"/>
      <c r="DB104" s="405"/>
      <c r="DC104" s="405"/>
      <c r="DD104" s="405"/>
      <c r="DE104" s="405"/>
      <c r="DF104" s="405"/>
      <c r="DG104" s="405"/>
      <c r="DH104" s="405"/>
      <c r="DI104" s="405"/>
      <c r="DJ104" s="405"/>
      <c r="DK104" s="405"/>
      <c r="DL104" s="405"/>
      <c r="DM104" s="405"/>
      <c r="DN104" s="405"/>
      <c r="DO104" s="405"/>
      <c r="DP104" s="405"/>
      <c r="DQ104" s="405"/>
      <c r="DR104" s="405"/>
      <c r="DS104" s="405"/>
      <c r="DT104" s="405"/>
      <c r="DU104" s="405"/>
      <c r="DV104" s="405"/>
      <c r="DW104" s="405"/>
      <c r="DX104" s="405"/>
      <c r="DY104" s="405"/>
      <c r="DZ104" s="405"/>
      <c r="EA104" s="405"/>
      <c r="EB104" s="405"/>
      <c r="EC104" s="405"/>
      <c r="ED104" s="405"/>
      <c r="EE104" s="405"/>
      <c r="EF104" s="405"/>
      <c r="EG104" s="405"/>
      <c r="EH104" s="405"/>
      <c r="EI104" s="405"/>
      <c r="EJ104" s="405"/>
      <c r="EK104" s="405"/>
      <c r="EL104" s="405"/>
      <c r="EM104" s="405"/>
      <c r="EN104" s="405"/>
    </row>
    <row r="105" spans="1:144" s="413" customFormat="1" ht="15" customHeight="1" outlineLevel="1">
      <c r="A105" s="460"/>
      <c r="B105" s="466"/>
      <c r="F105" s="466"/>
      <c r="H105" s="404"/>
      <c r="J105" s="404"/>
      <c r="U105" s="446"/>
      <c r="V105" s="446"/>
      <c r="W105" s="446"/>
      <c r="X105" s="446"/>
      <c r="Y105" s="446"/>
      <c r="Z105" s="446"/>
      <c r="AA105" s="446"/>
      <c r="AB105" s="446"/>
      <c r="AC105" s="446"/>
      <c r="AD105" s="446"/>
      <c r="AE105" s="446"/>
      <c r="AF105" s="446"/>
      <c r="AG105" s="446"/>
      <c r="AH105" s="446"/>
      <c r="AI105" s="446"/>
      <c r="AJ105" s="446"/>
      <c r="AK105" s="446"/>
      <c r="AL105" s="446"/>
      <c r="AM105" s="446"/>
      <c r="AN105" s="446"/>
      <c r="AO105" s="446"/>
      <c r="AP105" s="446"/>
      <c r="AQ105" s="446"/>
      <c r="AR105" s="446"/>
      <c r="AS105" s="446"/>
      <c r="AT105" s="446"/>
      <c r="AU105" s="446"/>
      <c r="AV105" s="446"/>
      <c r="AW105" s="446"/>
      <c r="AX105" s="446"/>
      <c r="AY105" s="446"/>
      <c r="AZ105" s="446"/>
      <c r="BA105" s="446"/>
      <c r="BB105" s="446"/>
      <c r="BC105" s="446"/>
      <c r="BD105" s="446"/>
      <c r="BE105" s="446"/>
      <c r="BF105" s="446"/>
      <c r="BG105" s="446"/>
      <c r="BH105" s="446"/>
      <c r="BI105" s="446"/>
      <c r="BJ105" s="446"/>
      <c r="BK105" s="446"/>
      <c r="BL105" s="446"/>
      <c r="BM105" s="446"/>
      <c r="BN105" s="446"/>
      <c r="BO105" s="446"/>
      <c r="BP105" s="446"/>
      <c r="BQ105" s="446"/>
      <c r="BR105" s="446"/>
      <c r="BS105" s="446"/>
      <c r="BT105" s="446"/>
      <c r="BU105" s="446"/>
      <c r="BV105" s="446"/>
      <c r="BW105" s="446"/>
      <c r="BX105" s="446"/>
      <c r="BY105" s="446"/>
      <c r="BZ105" s="446"/>
      <c r="CA105" s="446"/>
      <c r="CB105" s="446"/>
      <c r="CC105" s="446"/>
      <c r="CD105" s="446"/>
      <c r="CE105" s="446"/>
      <c r="CF105" s="446"/>
      <c r="CG105" s="446"/>
      <c r="CH105" s="446"/>
      <c r="CI105" s="446"/>
      <c r="CJ105" s="446"/>
      <c r="CK105" s="446"/>
      <c r="CL105" s="446"/>
      <c r="CM105" s="446"/>
      <c r="CN105" s="446"/>
      <c r="CO105" s="446"/>
      <c r="CP105" s="446"/>
      <c r="CQ105" s="446"/>
      <c r="CR105" s="446"/>
      <c r="CS105" s="446"/>
      <c r="CT105" s="446"/>
      <c r="CU105" s="446"/>
      <c r="CV105" s="446"/>
      <c r="CW105" s="446"/>
      <c r="CX105" s="446"/>
      <c r="CY105" s="446"/>
      <c r="CZ105" s="446"/>
      <c r="DA105" s="446"/>
      <c r="DB105" s="446"/>
      <c r="DC105" s="446"/>
      <c r="DD105" s="446"/>
      <c r="DE105" s="446"/>
      <c r="DF105" s="446"/>
      <c r="DG105" s="446"/>
      <c r="DH105" s="446"/>
      <c r="DI105" s="446"/>
      <c r="DJ105" s="446"/>
      <c r="DK105" s="446"/>
      <c r="DL105" s="446"/>
      <c r="DM105" s="446"/>
      <c r="DN105" s="446"/>
      <c r="DO105" s="446"/>
      <c r="DP105" s="446"/>
      <c r="DQ105" s="446"/>
      <c r="DR105" s="446"/>
      <c r="DS105" s="446"/>
      <c r="DT105" s="446"/>
      <c r="DU105" s="446"/>
      <c r="DV105" s="446"/>
      <c r="DW105" s="446"/>
      <c r="DX105" s="446"/>
      <c r="DY105" s="446"/>
      <c r="DZ105" s="446"/>
      <c r="EA105" s="446"/>
      <c r="EB105" s="446"/>
      <c r="EC105" s="446"/>
      <c r="ED105" s="446"/>
      <c r="EE105" s="446"/>
      <c r="EF105" s="446"/>
      <c r="EG105" s="446"/>
      <c r="EH105" s="446"/>
      <c r="EI105" s="446"/>
      <c r="EJ105" s="446"/>
      <c r="EK105" s="446"/>
      <c r="EL105" s="446"/>
      <c r="EM105" s="446"/>
      <c r="EN105" s="446"/>
    </row>
    <row r="106" spans="1:144" ht="15" customHeight="1" outlineLevel="1">
      <c r="A106" s="460"/>
      <c r="B106" s="420" t="str">
        <f>VLOOKUP("Input_3_Refrigerant_Type",Hidden_Translations!$B$11:$J$1184,Hidden_Translations!$C$8,FALSE)</f>
        <v>Type of refrigerant</v>
      </c>
      <c r="C106" s="411"/>
      <c r="D106" s="411"/>
      <c r="E106" s="411"/>
      <c r="F106" s="257" t="s">
        <v>249</v>
      </c>
      <c r="G106" s="411" t="str">
        <f>G22</f>
        <v>[Selection]</v>
      </c>
      <c r="H106" s="411"/>
      <c r="J106" s="403"/>
      <c r="U106" s="405"/>
      <c r="V106" s="405"/>
      <c r="W106" s="405"/>
      <c r="X106" s="405"/>
      <c r="Y106" s="405"/>
      <c r="Z106" s="405"/>
      <c r="AA106" s="405"/>
      <c r="AB106" s="405"/>
      <c r="AC106" s="405"/>
      <c r="AD106" s="405"/>
      <c r="AE106" s="405"/>
      <c r="AF106" s="405"/>
      <c r="AG106" s="405"/>
      <c r="AH106" s="405"/>
      <c r="AI106" s="405"/>
      <c r="AJ106" s="405"/>
      <c r="AK106" s="405"/>
      <c r="AL106" s="405"/>
      <c r="AM106" s="405"/>
      <c r="AN106" s="405"/>
      <c r="AO106" s="405"/>
      <c r="AP106" s="405"/>
      <c r="AQ106" s="405"/>
      <c r="AR106" s="405"/>
      <c r="AS106" s="405"/>
      <c r="AT106" s="405"/>
      <c r="AU106" s="405"/>
      <c r="AV106" s="405"/>
      <c r="AW106" s="405"/>
      <c r="AX106" s="405"/>
      <c r="AY106" s="405"/>
      <c r="AZ106" s="405"/>
      <c r="BA106" s="405"/>
      <c r="BB106" s="405"/>
      <c r="BC106" s="405"/>
      <c r="BD106" s="405"/>
      <c r="BE106" s="405"/>
      <c r="BF106" s="405"/>
      <c r="BG106" s="405"/>
      <c r="BH106" s="405"/>
      <c r="BI106" s="405"/>
      <c r="BJ106" s="405"/>
      <c r="BK106" s="405"/>
      <c r="BL106" s="405"/>
      <c r="BM106" s="405"/>
      <c r="BN106" s="405"/>
      <c r="BO106" s="405"/>
      <c r="BP106" s="405"/>
      <c r="BQ106" s="405"/>
      <c r="BR106" s="405"/>
      <c r="BS106" s="405"/>
      <c r="BT106" s="405"/>
      <c r="BU106" s="405"/>
      <c r="BV106" s="405"/>
      <c r="BW106" s="405"/>
      <c r="BX106" s="405"/>
      <c r="BY106" s="405"/>
      <c r="BZ106" s="405"/>
      <c r="CA106" s="405"/>
      <c r="CB106" s="405"/>
      <c r="CC106" s="405"/>
      <c r="CD106" s="405"/>
      <c r="CE106" s="405"/>
      <c r="CF106" s="405"/>
      <c r="CG106" s="405"/>
      <c r="CH106" s="405"/>
      <c r="CI106" s="405"/>
      <c r="CJ106" s="405"/>
      <c r="CK106" s="405"/>
      <c r="CL106" s="405"/>
      <c r="CM106" s="405"/>
      <c r="CN106" s="405"/>
      <c r="CO106" s="405"/>
      <c r="CP106" s="405"/>
      <c r="CQ106" s="405"/>
      <c r="CR106" s="405"/>
      <c r="CS106" s="405"/>
      <c r="CT106" s="405"/>
      <c r="CU106" s="405"/>
      <c r="CV106" s="405"/>
      <c r="CW106" s="405"/>
      <c r="CX106" s="405"/>
      <c r="CY106" s="405"/>
      <c r="CZ106" s="405"/>
      <c r="DA106" s="405"/>
      <c r="DB106" s="405"/>
      <c r="DC106" s="405"/>
      <c r="DD106" s="405"/>
      <c r="DE106" s="405"/>
      <c r="DF106" s="405"/>
      <c r="DG106" s="405"/>
      <c r="DH106" s="405"/>
      <c r="DI106" s="405"/>
      <c r="DJ106" s="405"/>
      <c r="DK106" s="405"/>
      <c r="DL106" s="405"/>
      <c r="DM106" s="405"/>
      <c r="DN106" s="405"/>
      <c r="DO106" s="405"/>
      <c r="DP106" s="405"/>
      <c r="DQ106" s="405"/>
      <c r="DR106" s="405"/>
      <c r="DS106" s="405"/>
      <c r="DT106" s="405"/>
      <c r="DU106" s="405"/>
      <c r="DV106" s="405"/>
      <c r="DW106" s="405"/>
      <c r="DX106" s="405"/>
      <c r="DY106" s="405"/>
      <c r="DZ106" s="405"/>
      <c r="EA106" s="405"/>
      <c r="EB106" s="405"/>
      <c r="EC106" s="405"/>
      <c r="ED106" s="405"/>
      <c r="EE106" s="405"/>
      <c r="EF106" s="405"/>
      <c r="EG106" s="405"/>
      <c r="EH106" s="405"/>
      <c r="EI106" s="405"/>
      <c r="EJ106" s="405"/>
      <c r="EK106" s="405"/>
      <c r="EL106" s="405"/>
      <c r="EM106" s="405"/>
      <c r="EN106" s="405"/>
    </row>
    <row r="107" spans="1:144" ht="15" customHeight="1" outlineLevel="1">
      <c r="A107" s="460"/>
      <c r="B107" s="420" t="str">
        <f>VLOOKUP("Input_3_Refrigerant_Precharge",Hidden_Translations!$B$11:$J$1184,Hidden_Translations!$C$8,FALSE)</f>
        <v>Initial annual precharge</v>
      </c>
      <c r="C107" s="411"/>
      <c r="D107" s="411"/>
      <c r="E107" s="411"/>
      <c r="F107" s="258">
        <v>0</v>
      </c>
      <c r="G107" s="411" t="str">
        <f>H87</f>
        <v>[kg]</v>
      </c>
      <c r="H107" s="411"/>
      <c r="J107" s="403"/>
      <c r="U107" s="405"/>
      <c r="V107" s="405"/>
      <c r="W107" s="405"/>
      <c r="X107" s="405"/>
      <c r="Y107" s="405"/>
      <c r="Z107" s="405"/>
      <c r="AA107" s="405"/>
      <c r="AB107" s="405"/>
      <c r="AC107" s="405"/>
      <c r="AD107" s="405"/>
      <c r="AE107" s="405"/>
      <c r="AF107" s="405"/>
      <c r="AG107" s="405"/>
      <c r="AH107" s="405"/>
      <c r="AI107" s="405"/>
      <c r="AJ107" s="405"/>
      <c r="AK107" s="405"/>
      <c r="AL107" s="405"/>
      <c r="AM107" s="405"/>
      <c r="AN107" s="405"/>
      <c r="AO107" s="405"/>
      <c r="AP107" s="405"/>
      <c r="AQ107" s="405"/>
      <c r="AR107" s="405"/>
      <c r="AS107" s="405"/>
      <c r="AT107" s="405"/>
      <c r="AU107" s="405"/>
      <c r="AV107" s="405"/>
      <c r="AW107" s="405"/>
      <c r="AX107" s="405"/>
      <c r="AY107" s="405"/>
      <c r="AZ107" s="405"/>
      <c r="BA107" s="405"/>
      <c r="BB107" s="405"/>
      <c r="BC107" s="405"/>
      <c r="BD107" s="405"/>
      <c r="BE107" s="405"/>
      <c r="BF107" s="405"/>
      <c r="BG107" s="405"/>
      <c r="BH107" s="405"/>
      <c r="BI107" s="405"/>
      <c r="BJ107" s="405"/>
      <c r="BK107" s="405"/>
      <c r="BL107" s="405"/>
      <c r="BM107" s="405"/>
      <c r="BN107" s="405"/>
      <c r="BO107" s="405"/>
      <c r="BP107" s="405"/>
      <c r="BQ107" s="405"/>
      <c r="BR107" s="405"/>
      <c r="BS107" s="405"/>
      <c r="BT107" s="405"/>
      <c r="BU107" s="405"/>
      <c r="BV107" s="405"/>
      <c r="BW107" s="405"/>
      <c r="BX107" s="405"/>
      <c r="BY107" s="405"/>
      <c r="BZ107" s="405"/>
      <c r="CA107" s="405"/>
      <c r="CB107" s="405"/>
      <c r="CC107" s="405"/>
      <c r="CD107" s="405"/>
      <c r="CE107" s="405"/>
      <c r="CF107" s="405"/>
      <c r="CG107" s="405"/>
      <c r="CH107" s="405"/>
      <c r="CI107" s="405"/>
      <c r="CJ107" s="405"/>
      <c r="CK107" s="405"/>
      <c r="CL107" s="405"/>
      <c r="CM107" s="405"/>
      <c r="CN107" s="405"/>
      <c r="CO107" s="405"/>
      <c r="CP107" s="405"/>
      <c r="CQ107" s="405"/>
      <c r="CR107" s="405"/>
      <c r="CS107" s="405"/>
      <c r="CT107" s="405"/>
      <c r="CU107" s="405"/>
      <c r="CV107" s="405"/>
      <c r="CW107" s="405"/>
      <c r="CX107" s="405"/>
      <c r="CY107" s="405"/>
      <c r="CZ107" s="405"/>
      <c r="DA107" s="405"/>
      <c r="DB107" s="405"/>
      <c r="DC107" s="405"/>
      <c r="DD107" s="405"/>
      <c r="DE107" s="405"/>
      <c r="DF107" s="405"/>
      <c r="DG107" s="405"/>
      <c r="DH107" s="405"/>
      <c r="DI107" s="405"/>
      <c r="DJ107" s="405"/>
      <c r="DK107" s="405"/>
      <c r="DL107" s="405"/>
      <c r="DM107" s="405"/>
      <c r="DN107" s="405"/>
      <c r="DO107" s="405"/>
      <c r="DP107" s="405"/>
      <c r="DQ107" s="405"/>
      <c r="DR107" s="405"/>
      <c r="DS107" s="405"/>
      <c r="DT107" s="405"/>
      <c r="DU107" s="405"/>
      <c r="DV107" s="405"/>
      <c r="DW107" s="405"/>
      <c r="DX107" s="405"/>
      <c r="DY107" s="405"/>
      <c r="DZ107" s="405"/>
      <c r="EA107" s="405"/>
      <c r="EB107" s="405"/>
      <c r="EC107" s="405"/>
      <c r="ED107" s="405"/>
      <c r="EE107" s="405"/>
      <c r="EF107" s="405"/>
      <c r="EG107" s="405"/>
      <c r="EH107" s="405"/>
      <c r="EI107" s="405"/>
      <c r="EJ107" s="405"/>
      <c r="EK107" s="405"/>
      <c r="EL107" s="405"/>
      <c r="EM107" s="405"/>
      <c r="EN107" s="405"/>
    </row>
    <row r="108" spans="1:144" ht="15" customHeight="1" outlineLevel="1">
      <c r="A108" s="460"/>
      <c r="B108" s="467"/>
      <c r="C108" s="80"/>
      <c r="H108" s="403"/>
      <c r="J108" s="403"/>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405"/>
      <c r="AU108" s="405"/>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405"/>
      <c r="EA108" s="405"/>
      <c r="EB108" s="405"/>
      <c r="EC108" s="405"/>
      <c r="ED108" s="405"/>
      <c r="EE108" s="405"/>
      <c r="EF108" s="405"/>
      <c r="EG108" s="405"/>
      <c r="EH108" s="405"/>
      <c r="EI108" s="405"/>
      <c r="EJ108" s="405"/>
      <c r="EK108" s="405"/>
      <c r="EL108" s="405"/>
      <c r="EM108" s="405"/>
      <c r="EN108" s="405"/>
    </row>
    <row r="109" spans="1:144" ht="15" customHeight="1" outlineLevel="1">
      <c r="B109" s="261" t="str">
        <f>VLOOKUP("Input_3_Waste_Header",Hidden_Translations!$B$11:$J$1184,Hidden_Translations!$C$8,FALSE)</f>
        <v>Waste</v>
      </c>
      <c r="C109" s="261"/>
      <c r="D109" s="261"/>
      <c r="E109" s="261"/>
      <c r="F109" s="261"/>
      <c r="G109" s="261"/>
      <c r="H109" s="261"/>
      <c r="J109" s="403"/>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5"/>
      <c r="BO109" s="405"/>
      <c r="BP109" s="405"/>
      <c r="BQ109" s="405"/>
      <c r="BR109" s="405"/>
      <c r="BS109" s="405"/>
      <c r="BT109" s="405"/>
      <c r="BU109" s="405"/>
      <c r="BV109" s="405"/>
      <c r="BW109" s="405"/>
      <c r="BX109" s="405"/>
      <c r="BY109" s="405"/>
      <c r="BZ109" s="405"/>
      <c r="CA109" s="405"/>
      <c r="CB109" s="405"/>
      <c r="CC109" s="405"/>
      <c r="CD109" s="405"/>
      <c r="CE109" s="405"/>
      <c r="CF109" s="405"/>
      <c r="CG109" s="405"/>
      <c r="CH109" s="405"/>
      <c r="CI109" s="405"/>
      <c r="CJ109" s="405"/>
      <c r="CK109" s="405"/>
      <c r="CL109" s="405"/>
      <c r="CM109" s="405"/>
      <c r="CN109" s="405"/>
      <c r="CO109" s="405"/>
      <c r="CP109" s="405"/>
      <c r="CQ109" s="405"/>
      <c r="CR109" s="405"/>
      <c r="CS109" s="405"/>
      <c r="CT109" s="405"/>
      <c r="CU109" s="405"/>
      <c r="CV109" s="405"/>
      <c r="CW109" s="405"/>
      <c r="CX109" s="405"/>
      <c r="CY109" s="405"/>
      <c r="CZ109" s="405"/>
      <c r="DA109" s="405"/>
      <c r="DB109" s="405"/>
      <c r="DC109" s="405"/>
      <c r="DD109" s="405"/>
      <c r="DE109" s="405"/>
      <c r="DF109" s="405"/>
      <c r="DG109" s="405"/>
      <c r="DH109" s="405"/>
      <c r="DI109" s="405"/>
      <c r="DJ109" s="405"/>
      <c r="DK109" s="405"/>
      <c r="DL109" s="405"/>
      <c r="DM109" s="405"/>
      <c r="DN109" s="405"/>
      <c r="DO109" s="405"/>
      <c r="DP109" s="405"/>
      <c r="DQ109" s="405"/>
      <c r="DR109" s="405"/>
      <c r="DS109" s="405"/>
      <c r="DT109" s="405"/>
      <c r="DU109" s="405"/>
      <c r="DV109" s="405"/>
      <c r="DW109" s="405"/>
      <c r="DX109" s="405"/>
      <c r="DY109" s="405"/>
      <c r="DZ109" s="405"/>
      <c r="EA109" s="405"/>
      <c r="EB109" s="405"/>
      <c r="EC109" s="405"/>
      <c r="ED109" s="405"/>
      <c r="EE109" s="405"/>
      <c r="EF109" s="405"/>
      <c r="EG109" s="405"/>
      <c r="EH109" s="405"/>
      <c r="EI109" s="405"/>
      <c r="EJ109" s="405"/>
      <c r="EK109" s="405"/>
      <c r="EL109" s="405"/>
      <c r="EM109" s="405"/>
      <c r="EN109" s="405"/>
    </row>
    <row r="110" spans="1:144" ht="15" customHeight="1" outlineLevel="1">
      <c r="B110" s="262"/>
      <c r="C110" s="262"/>
      <c r="D110" s="262"/>
      <c r="E110" s="262"/>
      <c r="F110" s="262"/>
      <c r="G110" s="262"/>
      <c r="H110" s="262"/>
      <c r="J110" s="403"/>
      <c r="U110" s="405"/>
      <c r="V110" s="405"/>
      <c r="W110" s="405"/>
      <c r="X110" s="405"/>
      <c r="Y110" s="405"/>
      <c r="Z110" s="405"/>
      <c r="AA110" s="405"/>
      <c r="AB110" s="405"/>
      <c r="AC110" s="405"/>
      <c r="AD110" s="405"/>
      <c r="AE110" s="405"/>
      <c r="AF110" s="405"/>
      <c r="AG110" s="405"/>
      <c r="AH110" s="405"/>
      <c r="AI110" s="405"/>
      <c r="AJ110" s="405"/>
      <c r="AK110" s="405"/>
      <c r="AL110" s="405"/>
      <c r="AM110" s="405"/>
      <c r="AN110" s="405"/>
      <c r="AO110" s="405"/>
      <c r="AP110" s="405"/>
      <c r="AQ110" s="405"/>
      <c r="AR110" s="405"/>
      <c r="AS110" s="405"/>
      <c r="AT110" s="405"/>
      <c r="AU110" s="405"/>
      <c r="AV110" s="405"/>
      <c r="AW110" s="405"/>
      <c r="AX110" s="405"/>
      <c r="AY110" s="405"/>
      <c r="AZ110" s="405"/>
      <c r="BA110" s="405"/>
      <c r="BB110" s="405"/>
      <c r="BC110" s="405"/>
      <c r="BD110" s="405"/>
      <c r="BE110" s="405"/>
      <c r="BF110" s="405"/>
      <c r="BG110" s="405"/>
      <c r="BH110" s="405"/>
      <c r="BI110" s="405"/>
      <c r="BJ110" s="405"/>
      <c r="BK110" s="405"/>
      <c r="BL110" s="405"/>
      <c r="BM110" s="405"/>
      <c r="BN110" s="405"/>
      <c r="BO110" s="405"/>
      <c r="BP110" s="405"/>
      <c r="BQ110" s="405"/>
      <c r="BR110" s="405"/>
      <c r="BS110" s="405"/>
      <c r="BT110" s="405"/>
      <c r="BU110" s="405"/>
      <c r="BV110" s="405"/>
      <c r="BW110" s="405"/>
      <c r="BX110" s="405"/>
      <c r="BY110" s="405"/>
      <c r="BZ110" s="405"/>
      <c r="CA110" s="405"/>
      <c r="CB110" s="405"/>
      <c r="CC110" s="405"/>
      <c r="CD110" s="405"/>
      <c r="CE110" s="405"/>
      <c r="CF110" s="405"/>
      <c r="CG110" s="405"/>
      <c r="CH110" s="405"/>
      <c r="CI110" s="405"/>
      <c r="CJ110" s="405"/>
      <c r="CK110" s="405"/>
      <c r="CL110" s="405"/>
      <c r="CM110" s="405"/>
      <c r="CN110" s="405"/>
      <c r="CO110" s="405"/>
      <c r="CP110" s="405"/>
      <c r="CQ110" s="405"/>
      <c r="CR110" s="405"/>
      <c r="CS110" s="405"/>
      <c r="CT110" s="405"/>
      <c r="CU110" s="405"/>
      <c r="CV110" s="405"/>
      <c r="CW110" s="405"/>
      <c r="CX110" s="405"/>
      <c r="CY110" s="405"/>
      <c r="CZ110" s="405"/>
      <c r="DA110" s="405"/>
      <c r="DB110" s="405"/>
      <c r="DC110" s="405"/>
      <c r="DD110" s="405"/>
      <c r="DE110" s="405"/>
      <c r="DF110" s="405"/>
      <c r="DG110" s="405"/>
      <c r="DH110" s="405"/>
      <c r="DI110" s="405"/>
      <c r="DJ110" s="405"/>
      <c r="DK110" s="405"/>
      <c r="DL110" s="405"/>
      <c r="DM110" s="405"/>
      <c r="DN110" s="405"/>
      <c r="DO110" s="405"/>
      <c r="DP110" s="405"/>
      <c r="DQ110" s="405"/>
      <c r="DR110" s="405"/>
      <c r="DS110" s="405"/>
      <c r="DT110" s="405"/>
      <c r="DU110" s="405"/>
      <c r="DV110" s="405"/>
      <c r="DW110" s="405"/>
      <c r="DX110" s="405"/>
      <c r="DY110" s="405"/>
      <c r="DZ110" s="405"/>
      <c r="EA110" s="405"/>
      <c r="EB110" s="405"/>
      <c r="EC110" s="405"/>
      <c r="ED110" s="405"/>
      <c r="EE110" s="405"/>
      <c r="EF110" s="405"/>
      <c r="EG110" s="405"/>
      <c r="EH110" s="405"/>
      <c r="EI110" s="405"/>
      <c r="EJ110" s="405"/>
      <c r="EK110" s="405"/>
      <c r="EL110" s="405"/>
      <c r="EM110" s="405"/>
      <c r="EN110" s="405"/>
    </row>
    <row r="111" spans="1:144" ht="15" customHeight="1" outlineLevel="1">
      <c r="B111" s="489" t="str">
        <f>VLOOKUP("Input_3_Waste_Text",Hidden_Translations!$B$11:$J$1184,Hidden_Translations!$C$8,FALSE)</f>
        <v>Please select the type and amount of waste and wastewater and its disposal as well as the means of transport for disposal of the waste.</v>
      </c>
      <c r="C111" s="489"/>
      <c r="D111" s="489"/>
      <c r="E111" s="489"/>
      <c r="F111" s="489"/>
      <c r="G111" s="489"/>
      <c r="H111" s="403"/>
      <c r="J111" s="403"/>
      <c r="U111" s="405"/>
      <c r="V111" s="405"/>
      <c r="W111" s="405"/>
      <c r="X111" s="405"/>
      <c r="Y111" s="405"/>
      <c r="Z111" s="405"/>
      <c r="AA111" s="405"/>
      <c r="AB111" s="405"/>
      <c r="AC111" s="405"/>
      <c r="AD111" s="405"/>
      <c r="AE111" s="405"/>
      <c r="AF111" s="405"/>
      <c r="AG111" s="405"/>
      <c r="AH111" s="405"/>
      <c r="AI111" s="405"/>
      <c r="AJ111" s="405"/>
      <c r="AK111" s="405"/>
      <c r="AL111" s="405"/>
      <c r="AM111" s="405"/>
      <c r="AN111" s="405"/>
      <c r="AO111" s="405"/>
      <c r="AP111" s="405"/>
      <c r="AQ111" s="405"/>
      <c r="AR111" s="405"/>
      <c r="AS111" s="405"/>
      <c r="AT111" s="405"/>
      <c r="AU111" s="405"/>
      <c r="AV111" s="405"/>
      <c r="AW111" s="405"/>
      <c r="AX111" s="405"/>
      <c r="AY111" s="405"/>
      <c r="AZ111" s="405"/>
      <c r="BA111" s="405"/>
      <c r="BB111" s="405"/>
      <c r="BC111" s="405"/>
      <c r="BD111" s="405"/>
      <c r="BE111" s="405"/>
      <c r="BF111" s="405"/>
      <c r="BG111" s="405"/>
      <c r="BH111" s="405"/>
      <c r="BI111" s="405"/>
      <c r="BJ111" s="405"/>
      <c r="BK111" s="405"/>
      <c r="BL111" s="405"/>
      <c r="BM111" s="405"/>
      <c r="BN111" s="405"/>
      <c r="BO111" s="405"/>
      <c r="BP111" s="405"/>
      <c r="BQ111" s="405"/>
      <c r="BR111" s="405"/>
      <c r="BS111" s="405"/>
      <c r="BT111" s="405"/>
      <c r="BU111" s="405"/>
      <c r="BV111" s="405"/>
      <c r="BW111" s="405"/>
      <c r="BX111" s="405"/>
      <c r="BY111" s="405"/>
      <c r="BZ111" s="405"/>
      <c r="CA111" s="405"/>
      <c r="CB111" s="405"/>
      <c r="CC111" s="405"/>
      <c r="CD111" s="405"/>
      <c r="CE111" s="405"/>
      <c r="CF111" s="405"/>
      <c r="CG111" s="405"/>
      <c r="CH111" s="405"/>
      <c r="CI111" s="405"/>
      <c r="CJ111" s="405"/>
      <c r="CK111" s="405"/>
      <c r="CL111" s="405"/>
      <c r="CM111" s="405"/>
      <c r="CN111" s="405"/>
      <c r="CO111" s="405"/>
      <c r="CP111" s="405"/>
      <c r="CQ111" s="405"/>
      <c r="CR111" s="405"/>
      <c r="CS111" s="405"/>
      <c r="CT111" s="405"/>
      <c r="CU111" s="405"/>
      <c r="CV111" s="405"/>
      <c r="CW111" s="405"/>
      <c r="CX111" s="405"/>
      <c r="CY111" s="405"/>
      <c r="CZ111" s="405"/>
      <c r="DA111" s="405"/>
      <c r="DB111" s="405"/>
      <c r="DC111" s="405"/>
      <c r="DD111" s="405"/>
      <c r="DE111" s="405"/>
      <c r="DF111" s="405"/>
      <c r="DG111" s="405"/>
      <c r="DH111" s="405"/>
      <c r="DI111" s="405"/>
      <c r="DJ111" s="405"/>
      <c r="DK111" s="405"/>
      <c r="DL111" s="405"/>
      <c r="DM111" s="405"/>
      <c r="DN111" s="405"/>
      <c r="DO111" s="405"/>
      <c r="DP111" s="405"/>
      <c r="DQ111" s="405"/>
      <c r="DR111" s="405"/>
      <c r="DS111" s="405"/>
      <c r="DT111" s="405"/>
      <c r="DU111" s="405"/>
      <c r="DV111" s="405"/>
      <c r="DW111" s="405"/>
      <c r="DX111" s="405"/>
      <c r="DY111" s="405"/>
      <c r="DZ111" s="405"/>
      <c r="EA111" s="405"/>
      <c r="EB111" s="405"/>
      <c r="EC111" s="405"/>
      <c r="ED111" s="405"/>
      <c r="EE111" s="405"/>
      <c r="EF111" s="405"/>
      <c r="EG111" s="405"/>
      <c r="EH111" s="405"/>
      <c r="EI111" s="405"/>
      <c r="EJ111" s="405"/>
      <c r="EK111" s="405"/>
      <c r="EL111" s="405"/>
      <c r="EM111" s="405"/>
      <c r="EN111" s="405"/>
    </row>
    <row r="112" spans="1:144" ht="15" customHeight="1" outlineLevel="1">
      <c r="B112" s="461"/>
      <c r="C112" s="461"/>
      <c r="D112" s="461"/>
      <c r="E112" s="461"/>
      <c r="F112" s="461"/>
      <c r="G112" s="461"/>
      <c r="H112" s="403"/>
      <c r="J112" s="403"/>
      <c r="U112" s="405"/>
      <c r="V112" s="405"/>
      <c r="W112" s="405"/>
      <c r="X112" s="405"/>
      <c r="Y112" s="405"/>
      <c r="Z112" s="405"/>
      <c r="AA112" s="405"/>
      <c r="AB112" s="405"/>
      <c r="AC112" s="405"/>
      <c r="AD112" s="405"/>
      <c r="AE112" s="405"/>
      <c r="AF112" s="405"/>
      <c r="AG112" s="405"/>
      <c r="AH112" s="405"/>
      <c r="AI112" s="405"/>
      <c r="AJ112" s="405"/>
      <c r="AK112" s="405"/>
      <c r="AL112" s="405"/>
      <c r="AM112" s="405"/>
      <c r="AN112" s="405"/>
      <c r="AO112" s="405"/>
      <c r="AP112" s="405"/>
      <c r="AQ112" s="405"/>
      <c r="AR112" s="405"/>
      <c r="AS112" s="405"/>
      <c r="AT112" s="405"/>
      <c r="AU112" s="405"/>
      <c r="AV112" s="405"/>
      <c r="AW112" s="405"/>
      <c r="AX112" s="405"/>
      <c r="AY112" s="405"/>
      <c r="AZ112" s="405"/>
      <c r="BA112" s="405"/>
      <c r="BB112" s="405"/>
      <c r="BC112" s="405"/>
      <c r="BD112" s="405"/>
      <c r="BE112" s="405"/>
      <c r="BF112" s="405"/>
      <c r="BG112" s="405"/>
      <c r="BH112" s="405"/>
      <c r="BI112" s="405"/>
      <c r="BJ112" s="405"/>
      <c r="BK112" s="405"/>
      <c r="BL112" s="405"/>
      <c r="BM112" s="405"/>
      <c r="BN112" s="405"/>
      <c r="BO112" s="405"/>
      <c r="BP112" s="405"/>
      <c r="BQ112" s="405"/>
      <c r="BR112" s="405"/>
      <c r="BS112" s="405"/>
      <c r="BT112" s="405"/>
      <c r="BU112" s="405"/>
      <c r="BV112" s="405"/>
      <c r="BW112" s="405"/>
      <c r="BX112" s="405"/>
      <c r="BY112" s="405"/>
      <c r="BZ112" s="405"/>
      <c r="CA112" s="405"/>
      <c r="CB112" s="405"/>
      <c r="CC112" s="405"/>
      <c r="CD112" s="405"/>
      <c r="CE112" s="405"/>
      <c r="CF112" s="405"/>
      <c r="CG112" s="405"/>
      <c r="CH112" s="405"/>
      <c r="CI112" s="405"/>
      <c r="CJ112" s="405"/>
      <c r="CK112" s="405"/>
      <c r="CL112" s="405"/>
      <c r="CM112" s="405"/>
      <c r="CN112" s="405"/>
      <c r="CO112" s="405"/>
      <c r="CP112" s="405"/>
      <c r="CQ112" s="405"/>
      <c r="CR112" s="405"/>
      <c r="CS112" s="405"/>
      <c r="CT112" s="405"/>
      <c r="CU112" s="405"/>
      <c r="CV112" s="405"/>
      <c r="CW112" s="405"/>
      <c r="CX112" s="405"/>
      <c r="CY112" s="405"/>
      <c r="CZ112" s="405"/>
      <c r="DA112" s="405"/>
      <c r="DB112" s="405"/>
      <c r="DC112" s="405"/>
      <c r="DD112" s="405"/>
      <c r="DE112" s="405"/>
      <c r="DF112" s="405"/>
      <c r="DG112" s="405"/>
      <c r="DH112" s="405"/>
      <c r="DI112" s="405"/>
      <c r="DJ112" s="405"/>
      <c r="DK112" s="405"/>
      <c r="DL112" s="405"/>
      <c r="DM112" s="405"/>
      <c r="DN112" s="405"/>
      <c r="DO112" s="405"/>
      <c r="DP112" s="405"/>
      <c r="DQ112" s="405"/>
      <c r="DR112" s="405"/>
      <c r="DS112" s="405"/>
      <c r="DT112" s="405"/>
      <c r="DU112" s="405"/>
      <c r="DV112" s="405"/>
      <c r="DW112" s="405"/>
      <c r="DX112" s="405"/>
      <c r="DY112" s="405"/>
      <c r="DZ112" s="405"/>
      <c r="EA112" s="405"/>
      <c r="EB112" s="405"/>
      <c r="EC112" s="405"/>
      <c r="ED112" s="405"/>
      <c r="EE112" s="405"/>
      <c r="EF112" s="405"/>
      <c r="EG112" s="405"/>
      <c r="EH112" s="405"/>
      <c r="EI112" s="405"/>
      <c r="EJ112" s="405"/>
      <c r="EK112" s="405"/>
      <c r="EL112" s="405"/>
      <c r="EM112" s="405"/>
      <c r="EN112" s="405"/>
    </row>
    <row r="113" spans="2:144" ht="15" customHeight="1" outlineLevel="1">
      <c r="B113" s="461"/>
      <c r="C113" s="461"/>
      <c r="D113" s="468" t="str">
        <f>VLOOKUP("Input_3_Waste",Hidden_Translations!$B$11:$J$1184,Hidden_Translations!$C$8,FALSE) &amp; " 1"</f>
        <v>Waste 1</v>
      </c>
      <c r="E113" s="468" t="str">
        <f>VLOOKUP("Input_3_Waste",Hidden_Translations!$B$11:$J$1184,Hidden_Translations!$C$8,FALSE) &amp; " 2"</f>
        <v>Waste 2</v>
      </c>
      <c r="F113" s="468" t="str">
        <f>VLOOKUP("Input_3_Waste",Hidden_Translations!$B$11:$J$1184,Hidden_Translations!$C$8,FALSE) &amp; " 3"</f>
        <v>Waste 3</v>
      </c>
      <c r="G113" s="468" t="str">
        <f>VLOOKUP("Input_3_Waste",Hidden_Translations!$B$11:$J$1184,Hidden_Translations!$C$8,FALSE) &amp; " 4"</f>
        <v>Waste 4</v>
      </c>
      <c r="H113" s="461"/>
      <c r="J113" s="403"/>
      <c r="U113" s="405"/>
      <c r="V113" s="405"/>
      <c r="W113" s="405"/>
      <c r="X113" s="405"/>
      <c r="Y113" s="405"/>
      <c r="Z113" s="405"/>
      <c r="AA113" s="405"/>
      <c r="AB113" s="405"/>
      <c r="AC113" s="405"/>
      <c r="AD113" s="405"/>
      <c r="AE113" s="405"/>
      <c r="AF113" s="405"/>
      <c r="AG113" s="405"/>
      <c r="AH113" s="405"/>
      <c r="AI113" s="405"/>
      <c r="AJ113" s="405"/>
      <c r="AK113" s="405"/>
      <c r="AL113" s="405"/>
      <c r="AM113" s="405"/>
      <c r="AN113" s="405"/>
      <c r="AO113" s="405"/>
      <c r="AP113" s="405"/>
      <c r="AQ113" s="405"/>
      <c r="AR113" s="405"/>
      <c r="AS113" s="405"/>
      <c r="AT113" s="405"/>
      <c r="AU113" s="405"/>
      <c r="AV113" s="405"/>
      <c r="AW113" s="405"/>
      <c r="AX113" s="405"/>
      <c r="AY113" s="405"/>
      <c r="AZ113" s="405"/>
      <c r="BA113" s="405"/>
      <c r="BB113" s="405"/>
      <c r="BC113" s="405"/>
      <c r="BD113" s="405"/>
      <c r="BE113" s="405"/>
      <c r="BF113" s="405"/>
      <c r="BG113" s="405"/>
      <c r="BH113" s="405"/>
      <c r="BI113" s="405"/>
      <c r="BJ113" s="405"/>
      <c r="BK113" s="405"/>
      <c r="BL113" s="405"/>
      <c r="BM113" s="405"/>
      <c r="BN113" s="405"/>
      <c r="BO113" s="405"/>
      <c r="BP113" s="405"/>
      <c r="BQ113" s="405"/>
      <c r="BR113" s="405"/>
      <c r="BS113" s="405"/>
      <c r="BT113" s="405"/>
      <c r="BU113" s="405"/>
      <c r="BV113" s="405"/>
      <c r="BW113" s="405"/>
      <c r="BX113" s="405"/>
      <c r="BY113" s="405"/>
      <c r="BZ113" s="405"/>
      <c r="CA113" s="405"/>
      <c r="CB113" s="405"/>
      <c r="CC113" s="405"/>
      <c r="CD113" s="405"/>
      <c r="CE113" s="405"/>
      <c r="CF113" s="405"/>
      <c r="CG113" s="405"/>
      <c r="CH113" s="405"/>
      <c r="CI113" s="405"/>
      <c r="CJ113" s="405"/>
      <c r="CK113" s="405"/>
      <c r="CL113" s="405"/>
      <c r="CM113" s="405"/>
      <c r="CN113" s="405"/>
      <c r="CO113" s="405"/>
      <c r="CP113" s="405"/>
      <c r="CQ113" s="405"/>
      <c r="CR113" s="405"/>
      <c r="CS113" s="405"/>
      <c r="CT113" s="405"/>
      <c r="CU113" s="405"/>
      <c r="CV113" s="405"/>
      <c r="CW113" s="405"/>
      <c r="CX113" s="405"/>
      <c r="CY113" s="405"/>
      <c r="CZ113" s="405"/>
      <c r="DA113" s="405"/>
      <c r="DB113" s="405"/>
      <c r="DC113" s="405"/>
      <c r="DD113" s="405"/>
      <c r="DE113" s="405"/>
      <c r="DF113" s="405"/>
      <c r="DG113" s="405"/>
      <c r="DH113" s="405"/>
      <c r="DI113" s="405"/>
      <c r="DJ113" s="405"/>
      <c r="DK113" s="405"/>
      <c r="DL113" s="405"/>
      <c r="DM113" s="405"/>
      <c r="DN113" s="405"/>
      <c r="DO113" s="405"/>
      <c r="DP113" s="405"/>
      <c r="DQ113" s="405"/>
      <c r="DR113" s="405"/>
      <c r="DS113" s="405"/>
      <c r="DT113" s="405"/>
      <c r="DU113" s="405"/>
      <c r="DV113" s="405"/>
      <c r="DW113" s="405"/>
      <c r="DX113" s="405"/>
      <c r="DY113" s="405"/>
      <c r="DZ113" s="405"/>
      <c r="EA113" s="405"/>
      <c r="EB113" s="405"/>
      <c r="EC113" s="405"/>
      <c r="ED113" s="405"/>
      <c r="EE113" s="405"/>
      <c r="EF113" s="405"/>
      <c r="EG113" s="405"/>
      <c r="EH113" s="405"/>
      <c r="EI113" s="405"/>
      <c r="EJ113" s="405"/>
      <c r="EK113" s="405"/>
      <c r="EL113" s="405"/>
      <c r="EM113" s="405"/>
      <c r="EN113" s="405"/>
    </row>
    <row r="114" spans="2:144" ht="45" customHeight="1" outlineLevel="1">
      <c r="B114" s="411" t="str">
        <f>VLOOKUP("Input_3_Waste_Type",Hidden_Translations!$B$11:$J$1184,Hidden_Translations!$C$8,FALSE)</f>
        <v>Waste type and disposal</v>
      </c>
      <c r="C114" s="411"/>
      <c r="D114" s="284" t="s">
        <v>249</v>
      </c>
      <c r="E114" s="284" t="s">
        <v>249</v>
      </c>
      <c r="F114" s="284" t="s">
        <v>249</v>
      </c>
      <c r="G114" s="284" t="s">
        <v>249</v>
      </c>
      <c r="H114" s="411" t="str">
        <f>G22</f>
        <v>[Selection]</v>
      </c>
      <c r="J114" s="403"/>
      <c r="U114" s="405"/>
      <c r="V114" s="405"/>
      <c r="W114" s="405"/>
      <c r="X114" s="405"/>
      <c r="Y114" s="405"/>
      <c r="Z114" s="405"/>
      <c r="AA114" s="405"/>
      <c r="AB114" s="405"/>
      <c r="AC114" s="405"/>
      <c r="AD114" s="405"/>
      <c r="AE114" s="405"/>
      <c r="AF114" s="405"/>
      <c r="AG114" s="405"/>
      <c r="AH114" s="405"/>
      <c r="AI114" s="405"/>
      <c r="AJ114" s="405"/>
      <c r="AK114" s="405"/>
      <c r="AL114" s="405"/>
      <c r="AM114" s="405"/>
      <c r="AN114" s="405"/>
      <c r="AO114" s="405"/>
      <c r="AP114" s="405"/>
      <c r="AQ114" s="405"/>
      <c r="AR114" s="405"/>
      <c r="AS114" s="405"/>
      <c r="AT114" s="405"/>
      <c r="AU114" s="405"/>
      <c r="AV114" s="405"/>
      <c r="AW114" s="405"/>
      <c r="AX114" s="405"/>
      <c r="AY114" s="405"/>
      <c r="AZ114" s="405"/>
      <c r="BA114" s="405"/>
      <c r="BB114" s="405"/>
      <c r="BC114" s="405"/>
      <c r="BD114" s="405"/>
      <c r="BE114" s="405"/>
      <c r="BF114" s="405"/>
      <c r="BG114" s="405"/>
      <c r="BH114" s="405"/>
      <c r="BI114" s="405"/>
      <c r="BJ114" s="405"/>
      <c r="BK114" s="405"/>
      <c r="BL114" s="405"/>
      <c r="BM114" s="405"/>
      <c r="BN114" s="405"/>
      <c r="BO114" s="405"/>
      <c r="BP114" s="405"/>
      <c r="BQ114" s="405"/>
      <c r="BR114" s="405"/>
      <c r="BS114" s="405"/>
      <c r="BT114" s="405"/>
      <c r="BU114" s="405"/>
      <c r="BV114" s="405"/>
      <c r="BW114" s="405"/>
      <c r="BX114" s="405"/>
      <c r="BY114" s="405"/>
      <c r="BZ114" s="405"/>
      <c r="CA114" s="405"/>
      <c r="CB114" s="405"/>
      <c r="CC114" s="405"/>
      <c r="CD114" s="405"/>
      <c r="CE114" s="405"/>
      <c r="CF114" s="405"/>
      <c r="CG114" s="405"/>
      <c r="CH114" s="405"/>
      <c r="CI114" s="405"/>
      <c r="CJ114" s="405"/>
      <c r="CK114" s="405"/>
      <c r="CL114" s="405"/>
      <c r="CM114" s="405"/>
      <c r="CN114" s="405"/>
      <c r="CO114" s="405"/>
      <c r="CP114" s="405"/>
      <c r="CQ114" s="405"/>
      <c r="CR114" s="405"/>
      <c r="CS114" s="405"/>
      <c r="CT114" s="405"/>
      <c r="CU114" s="405"/>
      <c r="CV114" s="405"/>
      <c r="CW114" s="405"/>
      <c r="CX114" s="405"/>
      <c r="CY114" s="405"/>
      <c r="CZ114" s="405"/>
      <c r="DA114" s="405"/>
      <c r="DB114" s="405"/>
      <c r="DC114" s="405"/>
      <c r="DD114" s="405"/>
      <c r="DE114" s="405"/>
      <c r="DF114" s="405"/>
      <c r="DG114" s="405"/>
      <c r="DH114" s="405"/>
      <c r="DI114" s="405"/>
      <c r="DJ114" s="405"/>
      <c r="DK114" s="405"/>
      <c r="DL114" s="405"/>
      <c r="DM114" s="405"/>
      <c r="DN114" s="405"/>
      <c r="DO114" s="405"/>
      <c r="DP114" s="405"/>
      <c r="DQ114" s="405"/>
      <c r="DR114" s="405"/>
      <c r="DS114" s="405"/>
      <c r="DT114" s="405"/>
      <c r="DU114" s="405"/>
      <c r="DV114" s="405"/>
      <c r="DW114" s="405"/>
      <c r="DX114" s="405"/>
      <c r="DY114" s="405"/>
      <c r="DZ114" s="405"/>
      <c r="EA114" s="405"/>
      <c r="EB114" s="405"/>
      <c r="EC114" s="405"/>
      <c r="ED114" s="405"/>
      <c r="EE114" s="405"/>
      <c r="EF114" s="405"/>
      <c r="EG114" s="405"/>
      <c r="EH114" s="405"/>
      <c r="EI114" s="405"/>
      <c r="EJ114" s="405"/>
      <c r="EK114" s="405"/>
      <c r="EL114" s="405"/>
      <c r="EM114" s="405"/>
      <c r="EN114" s="405"/>
    </row>
    <row r="115" spans="2:144" ht="15" customHeight="1" outlineLevel="1">
      <c r="B115" s="411" t="str">
        <f>VLOOKUP("Input_3_Waste_Amount",Hidden_Translations!$B$11:$J$1184,Hidden_Translations!$C$8,FALSE)</f>
        <v>Amount of waste per year</v>
      </c>
      <c r="C115" s="411"/>
      <c r="D115" s="298">
        <v>0</v>
      </c>
      <c r="E115" s="298">
        <v>0</v>
      </c>
      <c r="F115" s="298">
        <v>0</v>
      </c>
      <c r="G115" s="298">
        <v>0</v>
      </c>
      <c r="H115" s="411"/>
      <c r="J115" s="403"/>
      <c r="U115" s="405"/>
      <c r="V115" s="405"/>
      <c r="W115" s="405"/>
      <c r="X115" s="405"/>
      <c r="Y115" s="405"/>
      <c r="Z115" s="405"/>
      <c r="AA115" s="405"/>
      <c r="AB115" s="405"/>
      <c r="AC115" s="405"/>
      <c r="AD115" s="405"/>
      <c r="AE115" s="405"/>
      <c r="AF115" s="405"/>
      <c r="AG115" s="405"/>
      <c r="AH115" s="405"/>
      <c r="AI115" s="405"/>
      <c r="AJ115" s="405"/>
      <c r="AK115" s="405"/>
      <c r="AL115" s="405"/>
      <c r="AM115" s="405"/>
      <c r="AN115" s="405"/>
      <c r="AO115" s="405"/>
      <c r="AP115" s="405"/>
      <c r="AQ115" s="405"/>
      <c r="AR115" s="405"/>
      <c r="AS115" s="405"/>
      <c r="AT115" s="405"/>
      <c r="AU115" s="405"/>
      <c r="AV115" s="405"/>
      <c r="AW115" s="405"/>
      <c r="AX115" s="405"/>
      <c r="AY115" s="405"/>
      <c r="AZ115" s="405"/>
      <c r="BA115" s="405"/>
      <c r="BB115" s="405"/>
      <c r="BC115" s="405"/>
      <c r="BD115" s="405"/>
      <c r="BE115" s="405"/>
      <c r="BF115" s="405"/>
      <c r="BG115" s="405"/>
      <c r="BH115" s="405"/>
      <c r="BI115" s="405"/>
      <c r="BJ115" s="405"/>
      <c r="BK115" s="405"/>
      <c r="BL115" s="405"/>
      <c r="BM115" s="405"/>
      <c r="BN115" s="405"/>
      <c r="BO115" s="405"/>
      <c r="BP115" s="405"/>
      <c r="BQ115" s="405"/>
      <c r="BR115" s="405"/>
      <c r="BS115" s="405"/>
      <c r="BT115" s="405"/>
      <c r="BU115" s="405"/>
      <c r="BV115" s="405"/>
      <c r="BW115" s="405"/>
      <c r="BX115" s="405"/>
      <c r="BY115" s="405"/>
      <c r="BZ115" s="405"/>
      <c r="CA115" s="405"/>
      <c r="CB115" s="405"/>
      <c r="CC115" s="405"/>
      <c r="CD115" s="405"/>
      <c r="CE115" s="405"/>
      <c r="CF115" s="405"/>
      <c r="CG115" s="405"/>
      <c r="CH115" s="405"/>
      <c r="CI115" s="405"/>
      <c r="CJ115" s="405"/>
      <c r="CK115" s="405"/>
      <c r="CL115" s="405"/>
      <c r="CM115" s="405"/>
      <c r="CN115" s="405"/>
      <c r="CO115" s="405"/>
      <c r="CP115" s="405"/>
      <c r="CQ115" s="405"/>
      <c r="CR115" s="405"/>
      <c r="CS115" s="405"/>
      <c r="CT115" s="405"/>
      <c r="CU115" s="405"/>
      <c r="CV115" s="405"/>
      <c r="CW115" s="405"/>
      <c r="CX115" s="405"/>
      <c r="CY115" s="405"/>
      <c r="CZ115" s="405"/>
      <c r="DA115" s="405"/>
      <c r="DB115" s="405"/>
      <c r="DC115" s="405"/>
      <c r="DD115" s="405"/>
      <c r="DE115" s="405"/>
      <c r="DF115" s="405"/>
      <c r="DG115" s="405"/>
      <c r="DH115" s="405"/>
      <c r="DI115" s="405"/>
      <c r="DJ115" s="405"/>
      <c r="DK115" s="405"/>
      <c r="DL115" s="405"/>
      <c r="DM115" s="405"/>
      <c r="DN115" s="405"/>
      <c r="DO115" s="405"/>
      <c r="DP115" s="405"/>
      <c r="DQ115" s="405"/>
      <c r="DR115" s="405"/>
      <c r="DS115" s="405"/>
      <c r="DT115" s="405"/>
      <c r="DU115" s="405"/>
      <c r="DV115" s="405"/>
      <c r="DW115" s="405"/>
      <c r="DX115" s="405"/>
      <c r="DY115" s="405"/>
      <c r="DZ115" s="405"/>
      <c r="EA115" s="405"/>
      <c r="EB115" s="405"/>
      <c r="EC115" s="405"/>
      <c r="ED115" s="405"/>
      <c r="EE115" s="405"/>
      <c r="EF115" s="405"/>
      <c r="EG115" s="405"/>
      <c r="EH115" s="405"/>
      <c r="EI115" s="405"/>
      <c r="EJ115" s="405"/>
      <c r="EK115" s="405"/>
      <c r="EL115" s="405"/>
      <c r="EM115" s="405"/>
      <c r="EN115" s="405"/>
    </row>
    <row r="116" spans="2:144" ht="15" customHeight="1" outlineLevel="1">
      <c r="B116" s="411" t="str">
        <f>VLOOKUP("Input_3_Waste_Unit",Hidden_Translations!$B$11:$J$1184,Hidden_Translations!$C$8,FALSE)</f>
        <v>Unit</v>
      </c>
      <c r="C116" s="411"/>
      <c r="D116" s="469" t="str">
        <f>VLOOKUP(D114,Hidden_Database!$C$42:$E$53,3,FALSE)</f>
        <v/>
      </c>
      <c r="E116" s="469" t="str">
        <f>VLOOKUP(E114,Hidden_Database!$C$42:$E$53,3,FALSE)</f>
        <v/>
      </c>
      <c r="F116" s="469" t="str">
        <f>VLOOKUP(F114,Hidden_Database!$C$42:$E$53,3,FALSE)</f>
        <v/>
      </c>
      <c r="G116" s="469" t="str">
        <f>VLOOKUP(G114,Hidden_Database!$C$42:$E$53,3,FALSE)</f>
        <v/>
      </c>
      <c r="H116" s="411"/>
      <c r="J116" s="403"/>
      <c r="U116" s="405"/>
      <c r="V116" s="405"/>
      <c r="W116" s="405"/>
      <c r="X116" s="405"/>
      <c r="Y116" s="405"/>
      <c r="Z116" s="405"/>
      <c r="AA116" s="405"/>
      <c r="AB116" s="405"/>
      <c r="AC116" s="405"/>
      <c r="AD116" s="405"/>
      <c r="AE116" s="405"/>
      <c r="AF116" s="405"/>
      <c r="AG116" s="405"/>
      <c r="AH116" s="405"/>
      <c r="AI116" s="405"/>
      <c r="AJ116" s="405"/>
      <c r="AK116" s="405"/>
      <c r="AL116" s="405"/>
      <c r="AM116" s="405"/>
      <c r="AN116" s="405"/>
      <c r="AO116" s="405"/>
      <c r="AP116" s="405"/>
      <c r="AQ116" s="405"/>
      <c r="AR116" s="405"/>
      <c r="AS116" s="405"/>
      <c r="AT116" s="405"/>
      <c r="AU116" s="405"/>
      <c r="AV116" s="405"/>
      <c r="AW116" s="405"/>
      <c r="AX116" s="405"/>
      <c r="AY116" s="405"/>
      <c r="AZ116" s="405"/>
      <c r="BA116" s="405"/>
      <c r="BB116" s="405"/>
      <c r="BC116" s="405"/>
      <c r="BD116" s="405"/>
      <c r="BE116" s="405"/>
      <c r="BF116" s="405"/>
      <c r="BG116" s="405"/>
      <c r="BH116" s="405"/>
      <c r="BI116" s="405"/>
      <c r="BJ116" s="405"/>
      <c r="BK116" s="405"/>
      <c r="BL116" s="405"/>
      <c r="BM116" s="405"/>
      <c r="BN116" s="405"/>
      <c r="BO116" s="405"/>
      <c r="BP116" s="405"/>
      <c r="BQ116" s="405"/>
      <c r="BR116" s="405"/>
      <c r="BS116" s="405"/>
      <c r="BT116" s="405"/>
      <c r="BU116" s="405"/>
      <c r="BV116" s="405"/>
      <c r="BW116" s="405"/>
      <c r="BX116" s="405"/>
      <c r="BY116" s="405"/>
      <c r="BZ116" s="405"/>
      <c r="CA116" s="405"/>
      <c r="CB116" s="405"/>
      <c r="CC116" s="405"/>
      <c r="CD116" s="405"/>
      <c r="CE116" s="405"/>
      <c r="CF116" s="405"/>
      <c r="CG116" s="405"/>
      <c r="CH116" s="405"/>
      <c r="CI116" s="405"/>
      <c r="CJ116" s="405"/>
      <c r="CK116" s="405"/>
      <c r="CL116" s="405"/>
      <c r="CM116" s="405"/>
      <c r="CN116" s="405"/>
      <c r="CO116" s="405"/>
      <c r="CP116" s="405"/>
      <c r="CQ116" s="405"/>
      <c r="CR116" s="405"/>
      <c r="CS116" s="405"/>
      <c r="CT116" s="405"/>
      <c r="CU116" s="405"/>
      <c r="CV116" s="405"/>
      <c r="CW116" s="405"/>
      <c r="CX116" s="405"/>
      <c r="CY116" s="405"/>
      <c r="CZ116" s="405"/>
      <c r="DA116" s="405"/>
      <c r="DB116" s="405"/>
      <c r="DC116" s="405"/>
      <c r="DD116" s="405"/>
      <c r="DE116" s="405"/>
      <c r="DF116" s="405"/>
      <c r="DG116" s="405"/>
      <c r="DH116" s="405"/>
      <c r="DI116" s="405"/>
      <c r="DJ116" s="405"/>
      <c r="DK116" s="405"/>
      <c r="DL116" s="405"/>
      <c r="DM116" s="405"/>
      <c r="DN116" s="405"/>
      <c r="DO116" s="405"/>
      <c r="DP116" s="405"/>
      <c r="DQ116" s="405"/>
      <c r="DR116" s="405"/>
      <c r="DS116" s="405"/>
      <c r="DT116" s="405"/>
      <c r="DU116" s="405"/>
      <c r="DV116" s="405"/>
      <c r="DW116" s="405"/>
      <c r="DX116" s="405"/>
      <c r="DY116" s="405"/>
      <c r="DZ116" s="405"/>
      <c r="EA116" s="405"/>
      <c r="EB116" s="405"/>
      <c r="EC116" s="405"/>
      <c r="ED116" s="405"/>
      <c r="EE116" s="405"/>
      <c r="EF116" s="405"/>
      <c r="EG116" s="405"/>
      <c r="EH116" s="405"/>
      <c r="EI116" s="405"/>
      <c r="EJ116" s="405"/>
      <c r="EK116" s="405"/>
      <c r="EL116" s="405"/>
      <c r="EM116" s="405"/>
      <c r="EN116" s="405"/>
    </row>
    <row r="117" spans="2:144" ht="15" customHeight="1" outlineLevel="1">
      <c r="B117" s="420" t="str">
        <f>VLOOKUP("Input_3_Waste_Transport",Hidden_Translations!$B$11:$J$1184,Hidden_Translations!$C$8,FALSE)</f>
        <v>Transport distance by lorry truck</v>
      </c>
      <c r="C117" s="411"/>
      <c r="D117" s="298">
        <v>0</v>
      </c>
      <c r="E117" s="298">
        <v>0</v>
      </c>
      <c r="F117" s="298">
        <v>0</v>
      </c>
      <c r="G117" s="298">
        <v>0</v>
      </c>
      <c r="H117" s="411" t="str">
        <f>H62</f>
        <v>[km]</v>
      </c>
      <c r="J117" s="470"/>
      <c r="U117" s="405"/>
      <c r="V117" s="405"/>
      <c r="W117" s="405"/>
      <c r="X117" s="405"/>
      <c r="Y117" s="405"/>
      <c r="Z117" s="405"/>
      <c r="AA117" s="405"/>
      <c r="AB117" s="405"/>
      <c r="AC117" s="405"/>
      <c r="AD117" s="405"/>
      <c r="AE117" s="405"/>
      <c r="AF117" s="405"/>
      <c r="AG117" s="405"/>
      <c r="AH117" s="405"/>
      <c r="AI117" s="405"/>
      <c r="AJ117" s="405"/>
      <c r="AK117" s="405"/>
      <c r="AL117" s="405"/>
      <c r="AM117" s="405"/>
      <c r="AN117" s="405"/>
      <c r="AO117" s="405"/>
      <c r="AP117" s="405"/>
      <c r="AQ117" s="405"/>
      <c r="AR117" s="405"/>
      <c r="AS117" s="405"/>
      <c r="AT117" s="405"/>
      <c r="AU117" s="405"/>
      <c r="AV117" s="405"/>
      <c r="AW117" s="405"/>
      <c r="AX117" s="405"/>
      <c r="AY117" s="405"/>
      <c r="AZ117" s="405"/>
      <c r="BA117" s="405"/>
      <c r="BB117" s="405"/>
      <c r="BC117" s="405"/>
      <c r="BD117" s="405"/>
      <c r="BE117" s="405"/>
      <c r="BF117" s="405"/>
      <c r="BG117" s="405"/>
      <c r="BH117" s="405"/>
      <c r="BI117" s="405"/>
      <c r="BJ117" s="405"/>
      <c r="BK117" s="405"/>
      <c r="BL117" s="405"/>
      <c r="BM117" s="405"/>
      <c r="BN117" s="405"/>
      <c r="BO117" s="405"/>
      <c r="BP117" s="405"/>
      <c r="BQ117" s="405"/>
      <c r="BR117" s="405"/>
      <c r="BS117" s="405"/>
      <c r="BT117" s="405"/>
      <c r="BU117" s="405"/>
      <c r="BV117" s="405"/>
      <c r="BW117" s="405"/>
      <c r="BX117" s="405"/>
      <c r="BY117" s="405"/>
      <c r="BZ117" s="405"/>
      <c r="CA117" s="405"/>
      <c r="CB117" s="405"/>
      <c r="CC117" s="405"/>
      <c r="CD117" s="405"/>
      <c r="CE117" s="405"/>
      <c r="CF117" s="405"/>
      <c r="CG117" s="405"/>
      <c r="CH117" s="405"/>
      <c r="CI117" s="405"/>
      <c r="CJ117" s="405"/>
      <c r="CK117" s="405"/>
      <c r="CL117" s="405"/>
      <c r="CM117" s="405"/>
      <c r="CN117" s="405"/>
      <c r="CO117" s="405"/>
      <c r="CP117" s="405"/>
      <c r="CQ117" s="405"/>
      <c r="CR117" s="405"/>
      <c r="CS117" s="405"/>
      <c r="CT117" s="405"/>
      <c r="CU117" s="405"/>
      <c r="CV117" s="405"/>
      <c r="CW117" s="405"/>
      <c r="CX117" s="405"/>
      <c r="CY117" s="405"/>
      <c r="CZ117" s="405"/>
      <c r="DA117" s="405"/>
      <c r="DB117" s="405"/>
      <c r="DC117" s="405"/>
      <c r="DD117" s="405"/>
      <c r="DE117" s="405"/>
      <c r="DF117" s="405"/>
      <c r="DG117" s="405"/>
      <c r="DH117" s="405"/>
      <c r="DI117" s="405"/>
      <c r="DJ117" s="405"/>
      <c r="DK117" s="405"/>
      <c r="DL117" s="405"/>
      <c r="DM117" s="405"/>
      <c r="DN117" s="405"/>
      <c r="DO117" s="405"/>
      <c r="DP117" s="405"/>
      <c r="DQ117" s="405"/>
      <c r="DR117" s="405"/>
      <c r="DS117" s="405"/>
      <c r="DT117" s="405"/>
      <c r="DU117" s="405"/>
      <c r="DV117" s="405"/>
      <c r="DW117" s="405"/>
      <c r="DX117" s="405"/>
      <c r="DY117" s="405"/>
      <c r="DZ117" s="405"/>
      <c r="EA117" s="405"/>
      <c r="EB117" s="405"/>
      <c r="EC117" s="405"/>
      <c r="ED117" s="405"/>
      <c r="EE117" s="405"/>
      <c r="EF117" s="405"/>
      <c r="EG117" s="405"/>
      <c r="EH117" s="405"/>
      <c r="EI117" s="405"/>
      <c r="EJ117" s="405"/>
      <c r="EK117" s="405"/>
      <c r="EL117" s="405"/>
      <c r="EM117" s="405"/>
      <c r="EN117" s="405"/>
    </row>
    <row r="118" spans="2:144" ht="15" customHeight="1" outlineLevel="1">
      <c r="F118" s="413"/>
      <c r="G118" s="413"/>
      <c r="H118" s="403"/>
      <c r="J118" s="470"/>
      <c r="U118" s="405"/>
      <c r="V118" s="405"/>
      <c r="W118" s="405"/>
      <c r="X118" s="405"/>
      <c r="Y118" s="405"/>
      <c r="Z118" s="405"/>
      <c r="AA118" s="405"/>
      <c r="AB118" s="405"/>
      <c r="AC118" s="405"/>
      <c r="AD118" s="405"/>
      <c r="AE118" s="405"/>
      <c r="AF118" s="405"/>
      <c r="AG118" s="405"/>
      <c r="AH118" s="405"/>
      <c r="AI118" s="405"/>
      <c r="AJ118" s="405"/>
      <c r="AK118" s="405"/>
      <c r="AL118" s="405"/>
      <c r="AM118" s="405"/>
      <c r="AN118" s="405"/>
      <c r="AO118" s="405"/>
      <c r="AP118" s="405"/>
      <c r="AQ118" s="405"/>
      <c r="AR118" s="405"/>
      <c r="AS118" s="405"/>
      <c r="AT118" s="405"/>
      <c r="AU118" s="405"/>
      <c r="AV118" s="405"/>
      <c r="AW118" s="405"/>
      <c r="AX118" s="405"/>
      <c r="AY118" s="405"/>
      <c r="AZ118" s="405"/>
      <c r="BA118" s="405"/>
      <c r="BB118" s="405"/>
      <c r="BC118" s="405"/>
      <c r="BD118" s="405"/>
      <c r="BE118" s="405"/>
      <c r="BF118" s="405"/>
      <c r="BG118" s="405"/>
      <c r="BH118" s="405"/>
      <c r="BI118" s="405"/>
      <c r="BJ118" s="405"/>
      <c r="BK118" s="405"/>
      <c r="BL118" s="405"/>
      <c r="BM118" s="405"/>
      <c r="BN118" s="405"/>
      <c r="BO118" s="405"/>
      <c r="BP118" s="405"/>
      <c r="BQ118" s="405"/>
      <c r="BR118" s="405"/>
      <c r="BS118" s="405"/>
      <c r="BT118" s="405"/>
      <c r="BU118" s="405"/>
      <c r="BV118" s="405"/>
      <c r="BW118" s="405"/>
      <c r="BX118" s="405"/>
      <c r="BY118" s="405"/>
      <c r="BZ118" s="405"/>
      <c r="CA118" s="405"/>
      <c r="CB118" s="405"/>
      <c r="CC118" s="405"/>
      <c r="CD118" s="405"/>
      <c r="CE118" s="405"/>
      <c r="CF118" s="405"/>
      <c r="CG118" s="405"/>
      <c r="CH118" s="405"/>
      <c r="CI118" s="405"/>
      <c r="CJ118" s="405"/>
      <c r="CK118" s="405"/>
      <c r="CL118" s="405"/>
      <c r="CM118" s="405"/>
      <c r="CN118" s="405"/>
      <c r="CO118" s="405"/>
      <c r="CP118" s="405"/>
      <c r="CQ118" s="405"/>
      <c r="CR118" s="405"/>
      <c r="CS118" s="405"/>
      <c r="CT118" s="405"/>
      <c r="CU118" s="405"/>
      <c r="CV118" s="405"/>
      <c r="CW118" s="405"/>
      <c r="CX118" s="405"/>
      <c r="CY118" s="405"/>
      <c r="CZ118" s="405"/>
      <c r="DA118" s="405"/>
      <c r="DB118" s="405"/>
      <c r="DC118" s="405"/>
      <c r="DD118" s="405"/>
      <c r="DE118" s="405"/>
      <c r="DF118" s="405"/>
      <c r="DG118" s="405"/>
      <c r="DH118" s="405"/>
      <c r="DI118" s="405"/>
      <c r="DJ118" s="405"/>
      <c r="DK118" s="405"/>
      <c r="DL118" s="405"/>
      <c r="DM118" s="405"/>
      <c r="DN118" s="405"/>
      <c r="DO118" s="405"/>
      <c r="DP118" s="405"/>
      <c r="DQ118" s="405"/>
      <c r="DR118" s="405"/>
      <c r="DS118" s="405"/>
      <c r="DT118" s="405"/>
      <c r="DU118" s="405"/>
      <c r="DV118" s="405"/>
      <c r="DW118" s="405"/>
      <c r="DX118" s="405"/>
      <c r="DY118" s="405"/>
      <c r="DZ118" s="405"/>
      <c r="EA118" s="405"/>
      <c r="EB118" s="405"/>
      <c r="EC118" s="405"/>
      <c r="ED118" s="405"/>
      <c r="EE118" s="405"/>
      <c r="EF118" s="405"/>
      <c r="EG118" s="405"/>
      <c r="EH118" s="405"/>
      <c r="EI118" s="405"/>
      <c r="EJ118" s="405"/>
      <c r="EK118" s="405"/>
      <c r="EL118" s="405"/>
      <c r="EM118" s="405"/>
      <c r="EN118" s="405"/>
    </row>
    <row r="119" spans="2:144" ht="30" customHeight="1">
      <c r="B119" s="448" t="str">
        <f>VLOOKUP("Input_3a_Header",Hidden_Translations!$B$11:$J$1184,Hidden_Translations!$C$8,FALSE)</f>
        <v>#3a: Single drop transport (producer to docks/airport)</v>
      </c>
      <c r="C119" s="459" t="str">
        <f>VLOOKUP("Input_3a_Header_Addition",Hidden_Translations!$B$11:$J$1184,Hidden_Translations!$C$8,FALSE)</f>
        <v>(only for global supply chains)</v>
      </c>
      <c r="D119" s="459"/>
      <c r="E119" s="459"/>
      <c r="F119" s="459"/>
      <c r="G119" s="459"/>
      <c r="H119" s="459"/>
      <c r="J119" s="403"/>
      <c r="U119" s="405"/>
      <c r="V119" s="405"/>
      <c r="W119" s="405"/>
      <c r="X119" s="405"/>
      <c r="Y119" s="405"/>
      <c r="Z119" s="405"/>
      <c r="AA119" s="405"/>
      <c r="AB119" s="405"/>
      <c r="AC119" s="405"/>
      <c r="AD119" s="405"/>
      <c r="AE119" s="405"/>
      <c r="AF119" s="405"/>
      <c r="AG119" s="405"/>
      <c r="AH119" s="405"/>
      <c r="AI119" s="405"/>
      <c r="AJ119" s="405"/>
      <c r="AK119" s="405"/>
      <c r="AL119" s="405"/>
      <c r="AM119" s="405"/>
      <c r="AN119" s="405"/>
      <c r="AO119" s="405"/>
      <c r="AP119" s="405"/>
      <c r="AQ119" s="405"/>
      <c r="AR119" s="405"/>
      <c r="AS119" s="405"/>
      <c r="AT119" s="405"/>
      <c r="AU119" s="405"/>
      <c r="AV119" s="405"/>
      <c r="AW119" s="405"/>
      <c r="AX119" s="405"/>
      <c r="AY119" s="405"/>
      <c r="AZ119" s="405"/>
      <c r="BA119" s="405"/>
      <c r="BB119" s="405"/>
      <c r="BC119" s="405"/>
      <c r="BD119" s="405"/>
      <c r="BE119" s="405"/>
      <c r="BF119" s="405"/>
      <c r="BG119" s="405"/>
      <c r="BH119" s="405"/>
      <c r="BI119" s="405"/>
      <c r="BJ119" s="405"/>
      <c r="BK119" s="405"/>
      <c r="BL119" s="405"/>
      <c r="BM119" s="405"/>
      <c r="BN119" s="405"/>
      <c r="BO119" s="405"/>
      <c r="BP119" s="405"/>
      <c r="BQ119" s="405"/>
      <c r="BR119" s="405"/>
      <c r="BS119" s="405"/>
      <c r="BT119" s="405"/>
      <c r="BU119" s="405"/>
      <c r="BV119" s="405"/>
      <c r="BW119" s="405"/>
      <c r="BX119" s="405"/>
      <c r="BY119" s="405"/>
      <c r="BZ119" s="405"/>
      <c r="CA119" s="405"/>
      <c r="CB119" s="405"/>
      <c r="CC119" s="405"/>
      <c r="CD119" s="405"/>
      <c r="CE119" s="405"/>
      <c r="CF119" s="405"/>
      <c r="CG119" s="405"/>
      <c r="CH119" s="405"/>
      <c r="CI119" s="405"/>
      <c r="CJ119" s="405"/>
      <c r="CK119" s="405"/>
      <c r="CL119" s="405"/>
      <c r="CM119" s="405"/>
      <c r="CN119" s="405"/>
      <c r="CO119" s="405"/>
      <c r="CP119" s="405"/>
      <c r="CQ119" s="405"/>
      <c r="CR119" s="405"/>
      <c r="CS119" s="405"/>
      <c r="CT119" s="405"/>
      <c r="CU119" s="405"/>
      <c r="CV119" s="405"/>
      <c r="CW119" s="405"/>
      <c r="CX119" s="405"/>
      <c r="CY119" s="405"/>
      <c r="CZ119" s="405"/>
      <c r="DA119" s="405"/>
      <c r="DB119" s="405"/>
      <c r="DC119" s="405"/>
      <c r="DD119" s="405"/>
      <c r="DE119" s="405"/>
      <c r="DF119" s="405"/>
      <c r="DG119" s="405"/>
      <c r="DH119" s="405"/>
      <c r="DI119" s="405"/>
      <c r="DJ119" s="405"/>
      <c r="DK119" s="405"/>
      <c r="DL119" s="405"/>
      <c r="DM119" s="405"/>
      <c r="DN119" s="405"/>
      <c r="DO119" s="405"/>
      <c r="DP119" s="405"/>
      <c r="DQ119" s="405"/>
      <c r="DR119" s="405"/>
      <c r="DS119" s="405"/>
      <c r="DT119" s="405"/>
      <c r="DU119" s="405"/>
      <c r="DV119" s="405"/>
      <c r="DW119" s="405"/>
      <c r="DX119" s="405"/>
      <c r="DY119" s="405"/>
      <c r="DZ119" s="405"/>
      <c r="EA119" s="405"/>
      <c r="EB119" s="405"/>
      <c r="EC119" s="405"/>
      <c r="ED119" s="405"/>
      <c r="EE119" s="405"/>
      <c r="EF119" s="405"/>
      <c r="EG119" s="405"/>
      <c r="EH119" s="405"/>
      <c r="EI119" s="405"/>
      <c r="EJ119" s="405"/>
      <c r="EK119" s="405"/>
      <c r="EL119" s="405"/>
      <c r="EM119" s="405"/>
      <c r="EN119" s="405"/>
    </row>
    <row r="120" spans="2:144" ht="15" customHeight="1">
      <c r="B120" s="467"/>
      <c r="C120" s="80"/>
      <c r="D120" s="404"/>
      <c r="E120" s="404"/>
      <c r="F120" s="413"/>
      <c r="G120" s="413"/>
      <c r="H120" s="403"/>
      <c r="J120" s="403"/>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5"/>
      <c r="BO120" s="405"/>
      <c r="BP120" s="405"/>
      <c r="BQ120" s="405"/>
      <c r="BR120" s="405"/>
      <c r="BS120" s="405"/>
      <c r="BT120" s="405"/>
      <c r="BU120" s="405"/>
      <c r="BV120" s="405"/>
      <c r="BW120" s="405"/>
      <c r="BX120" s="405"/>
      <c r="BY120" s="405"/>
      <c r="BZ120" s="405"/>
      <c r="CA120" s="405"/>
      <c r="CB120" s="405"/>
      <c r="CC120" s="405"/>
      <c r="CD120" s="405"/>
      <c r="CE120" s="405"/>
      <c r="CF120" s="405"/>
      <c r="CG120" s="405"/>
      <c r="CH120" s="405"/>
      <c r="CI120" s="405"/>
      <c r="CJ120" s="405"/>
      <c r="CK120" s="405"/>
      <c r="CL120" s="405"/>
      <c r="CM120" s="405"/>
      <c r="CN120" s="405"/>
      <c r="CO120" s="405"/>
      <c r="CP120" s="405"/>
      <c r="CQ120" s="405"/>
      <c r="CR120" s="405"/>
      <c r="CS120" s="405"/>
      <c r="CT120" s="405"/>
      <c r="CU120" s="405"/>
      <c r="CV120" s="405"/>
      <c r="CW120" s="405"/>
      <c r="CX120" s="405"/>
      <c r="CY120" s="405"/>
      <c r="CZ120" s="405"/>
      <c r="DA120" s="405"/>
      <c r="DB120" s="405"/>
      <c r="DC120" s="405"/>
      <c r="DD120" s="405"/>
      <c r="DE120" s="405"/>
      <c r="DF120" s="405"/>
      <c r="DG120" s="405"/>
      <c r="DH120" s="405"/>
      <c r="DI120" s="405"/>
      <c r="DJ120" s="405"/>
      <c r="DK120" s="405"/>
      <c r="DL120" s="405"/>
      <c r="DM120" s="405"/>
      <c r="DN120" s="405"/>
      <c r="DO120" s="405"/>
      <c r="DP120" s="405"/>
      <c r="DQ120" s="405"/>
      <c r="DR120" s="405"/>
      <c r="DS120" s="405"/>
      <c r="DT120" s="405"/>
      <c r="DU120" s="405"/>
      <c r="DV120" s="405"/>
      <c r="DW120" s="405"/>
      <c r="DX120" s="405"/>
      <c r="DY120" s="405"/>
      <c r="DZ120" s="405"/>
      <c r="EA120" s="405"/>
      <c r="EB120" s="405"/>
      <c r="EC120" s="405"/>
      <c r="ED120" s="405"/>
      <c r="EE120" s="405"/>
      <c r="EF120" s="405"/>
      <c r="EG120" s="405"/>
      <c r="EH120" s="405"/>
      <c r="EI120" s="405"/>
      <c r="EJ120" s="405"/>
      <c r="EK120" s="405"/>
      <c r="EL120" s="405"/>
      <c r="EM120" s="405"/>
      <c r="EN120" s="405"/>
    </row>
    <row r="121" spans="2:144" ht="15" customHeight="1" outlineLevel="1">
      <c r="B121" s="471" t="str">
        <f>VLOOKUP("Input_3a_Header_Text",Hidden_Translations!$B$11:$J$1184,Hidden_Translations!$C$8,FALSE)</f>
        <v xml:space="preserve">This step for global supply chains only adresses transport before long distance transport. </v>
      </c>
      <c r="C121" s="80"/>
      <c r="D121" s="404"/>
      <c r="E121" s="404"/>
      <c r="F121" s="413"/>
      <c r="G121" s="413"/>
      <c r="H121" s="403"/>
      <c r="U121" s="405"/>
      <c r="V121" s="405"/>
      <c r="W121" s="405"/>
      <c r="X121" s="405"/>
      <c r="Y121" s="405"/>
      <c r="Z121" s="405"/>
      <c r="AA121" s="405"/>
      <c r="AB121" s="405"/>
      <c r="AC121" s="405"/>
      <c r="AD121" s="405"/>
      <c r="AE121" s="405"/>
      <c r="AF121" s="405"/>
      <c r="AG121" s="405"/>
      <c r="AH121" s="405"/>
      <c r="AI121" s="405"/>
      <c r="AJ121" s="405"/>
      <c r="AK121" s="405"/>
      <c r="AL121" s="405"/>
      <c r="AM121" s="405"/>
      <c r="AN121" s="405"/>
      <c r="AO121" s="405"/>
      <c r="AP121" s="405"/>
      <c r="AQ121" s="405"/>
      <c r="AR121" s="405"/>
      <c r="AS121" s="405"/>
      <c r="AT121" s="405"/>
      <c r="AU121" s="405"/>
      <c r="AV121" s="405"/>
      <c r="AW121" s="405"/>
      <c r="AX121" s="405"/>
      <c r="AY121" s="405"/>
      <c r="AZ121" s="405"/>
      <c r="BA121" s="405"/>
      <c r="BB121" s="405"/>
      <c r="BC121" s="405"/>
      <c r="BD121" s="405"/>
      <c r="BE121" s="405"/>
      <c r="BF121" s="405"/>
      <c r="BG121" s="405"/>
      <c r="BH121" s="405"/>
      <c r="BI121" s="405"/>
      <c r="BJ121" s="405"/>
      <c r="BK121" s="405"/>
      <c r="BL121" s="405"/>
      <c r="BM121" s="405"/>
      <c r="BN121" s="405"/>
      <c r="BO121" s="405"/>
      <c r="BP121" s="405"/>
      <c r="BQ121" s="405"/>
      <c r="BR121" s="405"/>
      <c r="BS121" s="405"/>
      <c r="BT121" s="405"/>
      <c r="BU121" s="405"/>
      <c r="BV121" s="405"/>
      <c r="BW121" s="405"/>
      <c r="BX121" s="405"/>
      <c r="BY121" s="405"/>
      <c r="BZ121" s="405"/>
      <c r="CA121" s="405"/>
      <c r="CB121" s="405"/>
      <c r="CC121" s="405"/>
      <c r="CD121" s="405"/>
      <c r="CE121" s="405"/>
      <c r="CF121" s="405"/>
      <c r="CG121" s="405"/>
      <c r="CH121" s="405"/>
      <c r="CI121" s="405"/>
      <c r="CJ121" s="405"/>
      <c r="CK121" s="405"/>
      <c r="CL121" s="405"/>
      <c r="CM121" s="405"/>
      <c r="CN121" s="405"/>
      <c r="CO121" s="405"/>
      <c r="CP121" s="405"/>
      <c r="CQ121" s="405"/>
      <c r="CR121" s="405"/>
      <c r="CS121" s="405"/>
      <c r="CT121" s="405"/>
      <c r="CU121" s="405"/>
      <c r="CV121" s="405"/>
      <c r="CW121" s="405"/>
      <c r="CX121" s="405"/>
      <c r="CY121" s="405"/>
      <c r="CZ121" s="405"/>
      <c r="DA121" s="405"/>
      <c r="DB121" s="405"/>
      <c r="DC121" s="405"/>
      <c r="DD121" s="405"/>
      <c r="DE121" s="405"/>
      <c r="DF121" s="405"/>
      <c r="DG121" s="405"/>
      <c r="DH121" s="405"/>
      <c r="DI121" s="405"/>
      <c r="DJ121" s="405"/>
      <c r="DK121" s="405"/>
      <c r="DL121" s="405"/>
      <c r="DM121" s="405"/>
      <c r="DN121" s="405"/>
      <c r="DO121" s="405"/>
      <c r="DP121" s="405"/>
      <c r="DQ121" s="405"/>
      <c r="DR121" s="405"/>
      <c r="DS121" s="405"/>
      <c r="DT121" s="405"/>
      <c r="DU121" s="405"/>
      <c r="DV121" s="405"/>
      <c r="DW121" s="405"/>
      <c r="DX121" s="405"/>
      <c r="DY121" s="405"/>
      <c r="DZ121" s="405"/>
      <c r="EA121" s="405"/>
      <c r="EB121" s="405"/>
      <c r="EC121" s="405"/>
      <c r="ED121" s="405"/>
      <c r="EE121" s="405"/>
      <c r="EF121" s="405"/>
      <c r="EG121" s="405"/>
      <c r="EH121" s="405"/>
      <c r="EI121" s="405"/>
      <c r="EJ121" s="405"/>
      <c r="EK121" s="405"/>
      <c r="EL121" s="405"/>
      <c r="EM121" s="405"/>
      <c r="EN121" s="405"/>
    </row>
    <row r="122" spans="2:144" ht="15" customHeight="1" outlineLevel="1">
      <c r="B122" s="467"/>
      <c r="C122" s="80"/>
      <c r="D122" s="404"/>
      <c r="E122" s="404"/>
      <c r="F122" s="413"/>
      <c r="G122" s="413"/>
      <c r="H122" s="403"/>
      <c r="J122" s="403"/>
      <c r="U122" s="405"/>
      <c r="V122" s="405"/>
      <c r="W122" s="405"/>
      <c r="X122" s="405"/>
      <c r="Y122" s="405"/>
      <c r="Z122" s="405"/>
      <c r="AA122" s="405"/>
      <c r="AB122" s="405"/>
      <c r="AC122" s="405"/>
      <c r="AD122" s="405"/>
      <c r="AE122" s="405"/>
      <c r="AF122" s="405"/>
      <c r="AG122" s="405"/>
      <c r="AH122" s="405"/>
      <c r="AI122" s="405"/>
      <c r="AJ122" s="405"/>
      <c r="AK122" s="405"/>
      <c r="AL122" s="405"/>
      <c r="AM122" s="405"/>
      <c r="AN122" s="405"/>
      <c r="AO122" s="405"/>
      <c r="AP122" s="405"/>
      <c r="AQ122" s="405"/>
      <c r="AR122" s="405"/>
      <c r="AS122" s="405"/>
      <c r="AT122" s="405"/>
      <c r="AU122" s="405"/>
      <c r="AV122" s="405"/>
      <c r="AW122" s="405"/>
      <c r="AX122" s="405"/>
      <c r="AY122" s="405"/>
      <c r="AZ122" s="405"/>
      <c r="BA122" s="405"/>
      <c r="BB122" s="405"/>
      <c r="BC122" s="405"/>
      <c r="BD122" s="405"/>
      <c r="BE122" s="405"/>
      <c r="BF122" s="405"/>
      <c r="BG122" s="405"/>
      <c r="BH122" s="405"/>
      <c r="BI122" s="405"/>
      <c r="BJ122" s="405"/>
      <c r="BK122" s="405"/>
      <c r="BL122" s="405"/>
      <c r="BM122" s="405"/>
      <c r="BN122" s="405"/>
      <c r="BO122" s="405"/>
      <c r="BP122" s="405"/>
      <c r="BQ122" s="405"/>
      <c r="BR122" s="405"/>
      <c r="BS122" s="405"/>
      <c r="BT122" s="405"/>
      <c r="BU122" s="405"/>
      <c r="BV122" s="405"/>
      <c r="BW122" s="405"/>
      <c r="BX122" s="405"/>
      <c r="BY122" s="405"/>
      <c r="BZ122" s="405"/>
      <c r="CA122" s="405"/>
      <c r="CB122" s="405"/>
      <c r="CC122" s="405"/>
      <c r="CD122" s="405"/>
      <c r="CE122" s="405"/>
      <c r="CF122" s="405"/>
      <c r="CG122" s="405"/>
      <c r="CH122" s="405"/>
      <c r="CI122" s="405"/>
      <c r="CJ122" s="405"/>
      <c r="CK122" s="405"/>
      <c r="CL122" s="405"/>
      <c r="CM122" s="405"/>
      <c r="CN122" s="405"/>
      <c r="CO122" s="405"/>
      <c r="CP122" s="405"/>
      <c r="CQ122" s="405"/>
      <c r="CR122" s="405"/>
      <c r="CS122" s="405"/>
      <c r="CT122" s="405"/>
      <c r="CU122" s="405"/>
      <c r="CV122" s="405"/>
      <c r="CW122" s="405"/>
      <c r="CX122" s="405"/>
      <c r="CY122" s="405"/>
      <c r="CZ122" s="405"/>
      <c r="DA122" s="405"/>
      <c r="DB122" s="405"/>
      <c r="DC122" s="405"/>
      <c r="DD122" s="405"/>
      <c r="DE122" s="405"/>
      <c r="DF122" s="405"/>
      <c r="DG122" s="405"/>
      <c r="DH122" s="405"/>
      <c r="DI122" s="405"/>
      <c r="DJ122" s="405"/>
      <c r="DK122" s="405"/>
      <c r="DL122" s="405"/>
      <c r="DM122" s="405"/>
      <c r="DN122" s="405"/>
      <c r="DO122" s="405"/>
      <c r="DP122" s="405"/>
      <c r="DQ122" s="405"/>
      <c r="DR122" s="405"/>
      <c r="DS122" s="405"/>
      <c r="DT122" s="405"/>
      <c r="DU122" s="405"/>
      <c r="DV122" s="405"/>
      <c r="DW122" s="405"/>
      <c r="DX122" s="405"/>
      <c r="DY122" s="405"/>
      <c r="DZ122" s="405"/>
      <c r="EA122" s="405"/>
      <c r="EB122" s="405"/>
      <c r="EC122" s="405"/>
      <c r="ED122" s="405"/>
      <c r="EE122" s="405"/>
      <c r="EF122" s="405"/>
      <c r="EG122" s="405"/>
      <c r="EH122" s="405"/>
      <c r="EI122" s="405"/>
      <c r="EJ122" s="405"/>
      <c r="EK122" s="405"/>
      <c r="EL122" s="405"/>
      <c r="EM122" s="405"/>
      <c r="EN122" s="405"/>
    </row>
    <row r="123" spans="2:144" ht="15" customHeight="1" outlineLevel="1">
      <c r="B123" s="492" t="str">
        <f>VLOOKUP("Input_3a_Auxiliary_Power",Hidden_Translations!$B$11:$J$1184,Hidden_Translations!$C$8,FALSE)</f>
        <v>Is refrigeration provided by auxiliary powered units in transport vehicles?</v>
      </c>
      <c r="C123" s="492"/>
      <c r="D123" s="492"/>
      <c r="E123" s="493"/>
      <c r="F123" s="284"/>
      <c r="G123" s="420" t="str">
        <f>G22</f>
        <v>[Selection]</v>
      </c>
      <c r="H123" s="420"/>
      <c r="J123" s="403"/>
      <c r="U123" s="405"/>
      <c r="V123" s="405"/>
      <c r="W123" s="405"/>
      <c r="X123" s="405"/>
      <c r="Y123" s="405"/>
      <c r="Z123" s="405"/>
      <c r="AA123" s="405"/>
      <c r="AB123" s="405"/>
      <c r="AC123" s="405"/>
      <c r="AD123" s="405"/>
      <c r="AE123" s="405"/>
      <c r="AF123" s="405"/>
      <c r="AG123" s="405"/>
      <c r="AH123" s="405"/>
      <c r="AI123" s="405"/>
      <c r="AJ123" s="405"/>
      <c r="AK123" s="405"/>
      <c r="AL123" s="405"/>
      <c r="AM123" s="405"/>
      <c r="AN123" s="405"/>
      <c r="AO123" s="405"/>
      <c r="AP123" s="405"/>
      <c r="AQ123" s="405"/>
      <c r="AR123" s="405"/>
      <c r="AS123" s="405"/>
      <c r="AT123" s="405"/>
      <c r="AU123" s="405"/>
      <c r="AV123" s="405"/>
      <c r="AW123" s="405"/>
      <c r="AX123" s="405"/>
      <c r="AY123" s="405"/>
      <c r="AZ123" s="405"/>
      <c r="BA123" s="405"/>
      <c r="BB123" s="405"/>
      <c r="BC123" s="405"/>
      <c r="BD123" s="405"/>
      <c r="BE123" s="405"/>
      <c r="BF123" s="405"/>
      <c r="BG123" s="405"/>
      <c r="BH123" s="405"/>
      <c r="BI123" s="405"/>
      <c r="BJ123" s="405"/>
      <c r="BK123" s="405"/>
      <c r="BL123" s="405"/>
      <c r="BM123" s="405"/>
      <c r="BN123" s="405"/>
      <c r="BO123" s="405"/>
      <c r="BP123" s="405"/>
      <c r="BQ123" s="405"/>
      <c r="BR123" s="405"/>
      <c r="BS123" s="405"/>
      <c r="BT123" s="405"/>
      <c r="BU123" s="405"/>
      <c r="BV123" s="405"/>
      <c r="BW123" s="405"/>
      <c r="BX123" s="405"/>
      <c r="BY123" s="405"/>
      <c r="BZ123" s="405"/>
      <c r="CA123" s="405"/>
      <c r="CB123" s="405"/>
      <c r="CC123" s="405"/>
      <c r="CD123" s="405"/>
      <c r="CE123" s="405"/>
      <c r="CF123" s="405"/>
      <c r="CG123" s="405"/>
      <c r="CH123" s="405"/>
      <c r="CI123" s="405"/>
      <c r="CJ123" s="405"/>
      <c r="CK123" s="405"/>
      <c r="CL123" s="405"/>
      <c r="CM123" s="405"/>
      <c r="CN123" s="405"/>
      <c r="CO123" s="405"/>
      <c r="CP123" s="405"/>
      <c r="CQ123" s="405"/>
      <c r="CR123" s="405"/>
      <c r="CS123" s="405"/>
      <c r="CT123" s="405"/>
      <c r="CU123" s="405"/>
      <c r="CV123" s="405"/>
      <c r="CW123" s="405"/>
      <c r="CX123" s="405"/>
      <c r="CY123" s="405"/>
      <c r="CZ123" s="405"/>
      <c r="DA123" s="405"/>
      <c r="DB123" s="405"/>
      <c r="DC123" s="405"/>
      <c r="DD123" s="405"/>
      <c r="DE123" s="405"/>
      <c r="DF123" s="405"/>
      <c r="DG123" s="405"/>
      <c r="DH123" s="405"/>
      <c r="DI123" s="405"/>
      <c r="DJ123" s="405"/>
      <c r="DK123" s="405"/>
      <c r="DL123" s="405"/>
      <c r="DM123" s="405"/>
      <c r="DN123" s="405"/>
      <c r="DO123" s="405"/>
      <c r="DP123" s="405"/>
      <c r="DQ123" s="405"/>
      <c r="DR123" s="405"/>
      <c r="DS123" s="405"/>
      <c r="DT123" s="405"/>
      <c r="DU123" s="405"/>
      <c r="DV123" s="405"/>
      <c r="DW123" s="405"/>
      <c r="DX123" s="405"/>
      <c r="DY123" s="405"/>
      <c r="DZ123" s="405"/>
      <c r="EA123" s="405"/>
      <c r="EB123" s="405"/>
      <c r="EC123" s="405"/>
      <c r="ED123" s="405"/>
      <c r="EE123" s="405"/>
      <c r="EF123" s="405"/>
      <c r="EG123" s="405"/>
      <c r="EH123" s="405"/>
      <c r="EI123" s="405"/>
      <c r="EJ123" s="405"/>
      <c r="EK123" s="405"/>
      <c r="EL123" s="405"/>
      <c r="EM123" s="405"/>
      <c r="EN123" s="405"/>
    </row>
    <row r="124" spans="2:144" ht="15" customHeight="1" outlineLevel="1">
      <c r="B124" s="467"/>
      <c r="C124" s="80"/>
      <c r="D124" s="404"/>
      <c r="E124" s="404"/>
      <c r="F124" s="413"/>
      <c r="G124" s="413"/>
      <c r="H124" s="403"/>
      <c r="J124" s="403"/>
      <c r="U124" s="405"/>
      <c r="V124" s="405"/>
      <c r="W124" s="405"/>
      <c r="X124" s="405"/>
      <c r="Y124" s="405"/>
      <c r="Z124" s="405"/>
      <c r="AA124" s="405"/>
      <c r="AB124" s="405"/>
      <c r="AC124" s="405"/>
      <c r="AD124" s="405"/>
      <c r="AE124" s="405"/>
      <c r="AF124" s="405"/>
      <c r="AG124" s="405"/>
      <c r="AH124" s="405"/>
      <c r="AI124" s="405"/>
      <c r="AJ124" s="405"/>
      <c r="AK124" s="405"/>
      <c r="AL124" s="405"/>
      <c r="AM124" s="405"/>
      <c r="AN124" s="405"/>
      <c r="AO124" s="405"/>
      <c r="AP124" s="405"/>
      <c r="AQ124" s="405"/>
      <c r="AR124" s="405"/>
      <c r="AS124" s="405"/>
      <c r="AT124" s="405"/>
      <c r="AU124" s="405"/>
      <c r="AV124" s="405"/>
      <c r="AW124" s="405"/>
      <c r="AX124" s="405"/>
      <c r="AY124" s="405"/>
      <c r="AZ124" s="405"/>
      <c r="BA124" s="405"/>
      <c r="BB124" s="405"/>
      <c r="BC124" s="405"/>
      <c r="BD124" s="405"/>
      <c r="BE124" s="405"/>
      <c r="BF124" s="405"/>
      <c r="BG124" s="405"/>
      <c r="BH124" s="405"/>
      <c r="BI124" s="405"/>
      <c r="BJ124" s="405"/>
      <c r="BK124" s="405"/>
      <c r="BL124" s="405"/>
      <c r="BM124" s="405"/>
      <c r="BN124" s="405"/>
      <c r="BO124" s="405"/>
      <c r="BP124" s="405"/>
      <c r="BQ124" s="405"/>
      <c r="BR124" s="405"/>
      <c r="BS124" s="405"/>
      <c r="BT124" s="405"/>
      <c r="BU124" s="405"/>
      <c r="BV124" s="405"/>
      <c r="BW124" s="405"/>
      <c r="BX124" s="405"/>
      <c r="BY124" s="405"/>
      <c r="BZ124" s="405"/>
      <c r="CA124" s="405"/>
      <c r="CB124" s="405"/>
      <c r="CC124" s="405"/>
      <c r="CD124" s="405"/>
      <c r="CE124" s="405"/>
      <c r="CF124" s="405"/>
      <c r="CG124" s="405"/>
      <c r="CH124" s="405"/>
      <c r="CI124" s="405"/>
      <c r="CJ124" s="405"/>
      <c r="CK124" s="405"/>
      <c r="CL124" s="405"/>
      <c r="CM124" s="405"/>
      <c r="CN124" s="405"/>
      <c r="CO124" s="405"/>
      <c r="CP124" s="405"/>
      <c r="CQ124" s="405"/>
      <c r="CR124" s="405"/>
      <c r="CS124" s="405"/>
      <c r="CT124" s="405"/>
      <c r="CU124" s="405"/>
      <c r="CV124" s="405"/>
      <c r="CW124" s="405"/>
      <c r="CX124" s="405"/>
      <c r="CY124" s="405"/>
      <c r="CZ124" s="405"/>
      <c r="DA124" s="405"/>
      <c r="DB124" s="405"/>
      <c r="DC124" s="405"/>
      <c r="DD124" s="405"/>
      <c r="DE124" s="405"/>
      <c r="DF124" s="405"/>
      <c r="DG124" s="405"/>
      <c r="DH124" s="405"/>
      <c r="DI124" s="405"/>
      <c r="DJ124" s="405"/>
      <c r="DK124" s="405"/>
      <c r="DL124" s="405"/>
      <c r="DM124" s="405"/>
      <c r="DN124" s="405"/>
      <c r="DO124" s="405"/>
      <c r="DP124" s="405"/>
      <c r="DQ124" s="405"/>
      <c r="DR124" s="405"/>
      <c r="DS124" s="405"/>
      <c r="DT124" s="405"/>
      <c r="DU124" s="405"/>
      <c r="DV124" s="405"/>
      <c r="DW124" s="405"/>
      <c r="DX124" s="405"/>
      <c r="DY124" s="405"/>
      <c r="DZ124" s="405"/>
      <c r="EA124" s="405"/>
      <c r="EB124" s="405"/>
      <c r="EC124" s="405"/>
      <c r="ED124" s="405"/>
      <c r="EE124" s="405"/>
      <c r="EF124" s="405"/>
      <c r="EG124" s="405"/>
      <c r="EH124" s="405"/>
      <c r="EI124" s="405"/>
      <c r="EJ124" s="405"/>
      <c r="EK124" s="405"/>
      <c r="EL124" s="405"/>
      <c r="EM124" s="405"/>
      <c r="EN124" s="405"/>
    </row>
    <row r="125" spans="2:144" ht="15" customHeight="1" outlineLevel="1">
      <c r="B125" s="449"/>
      <c r="C125" s="453" t="s">
        <v>100</v>
      </c>
      <c r="D125" s="453" t="s">
        <v>99</v>
      </c>
      <c r="E125" s="453" t="s">
        <v>98</v>
      </c>
      <c r="F125" s="453" t="s">
        <v>97</v>
      </c>
      <c r="G125" s="453" t="s">
        <v>104</v>
      </c>
      <c r="H125" s="84"/>
      <c r="J125" s="403"/>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5"/>
      <c r="BO125" s="405"/>
      <c r="BP125" s="405"/>
      <c r="BQ125" s="405"/>
      <c r="BR125" s="405"/>
      <c r="BS125" s="405"/>
      <c r="BT125" s="405"/>
      <c r="BU125" s="405"/>
      <c r="BV125" s="405"/>
      <c r="BW125" s="405"/>
      <c r="BX125" s="405"/>
      <c r="BY125" s="405"/>
      <c r="BZ125" s="405"/>
      <c r="CA125" s="405"/>
      <c r="CB125" s="405"/>
      <c r="CC125" s="405"/>
      <c r="CD125" s="405"/>
      <c r="CE125" s="405"/>
      <c r="CF125" s="405"/>
      <c r="CG125" s="405"/>
      <c r="CH125" s="405"/>
      <c r="CI125" s="405"/>
      <c r="CJ125" s="405"/>
      <c r="CK125" s="405"/>
      <c r="CL125" s="405"/>
      <c r="CM125" s="405"/>
      <c r="CN125" s="405"/>
      <c r="CO125" s="405"/>
      <c r="CP125" s="405"/>
      <c r="CQ125" s="405"/>
      <c r="CR125" s="405"/>
      <c r="CS125" s="405"/>
      <c r="CT125" s="405"/>
      <c r="CU125" s="405"/>
      <c r="CV125" s="405"/>
      <c r="CW125" s="405"/>
      <c r="CX125" s="405"/>
      <c r="CY125" s="405"/>
      <c r="CZ125" s="405"/>
      <c r="DA125" s="405"/>
      <c r="DB125" s="405"/>
      <c r="DC125" s="405"/>
      <c r="DD125" s="405"/>
      <c r="DE125" s="405"/>
      <c r="DF125" s="405"/>
      <c r="DG125" s="405"/>
      <c r="DH125" s="405"/>
      <c r="DI125" s="405"/>
      <c r="DJ125" s="405"/>
      <c r="DK125" s="405"/>
      <c r="DL125" s="405"/>
      <c r="DM125" s="405"/>
      <c r="DN125" s="405"/>
      <c r="DO125" s="405"/>
      <c r="DP125" s="405"/>
      <c r="DQ125" s="405"/>
      <c r="DR125" s="405"/>
      <c r="DS125" s="405"/>
      <c r="DT125" s="405"/>
      <c r="DU125" s="405"/>
      <c r="DV125" s="405"/>
      <c r="DW125" s="405"/>
      <c r="DX125" s="405"/>
      <c r="DY125" s="405"/>
      <c r="DZ125" s="405"/>
      <c r="EA125" s="405"/>
      <c r="EB125" s="405"/>
      <c r="EC125" s="405"/>
      <c r="ED125" s="405"/>
      <c r="EE125" s="405"/>
      <c r="EF125" s="405"/>
      <c r="EG125" s="405"/>
      <c r="EH125" s="405"/>
      <c r="EI125" s="405"/>
      <c r="EJ125" s="405"/>
      <c r="EK125" s="405"/>
      <c r="EL125" s="405"/>
      <c r="EM125" s="405"/>
      <c r="EN125" s="405"/>
    </row>
    <row r="126" spans="2:144" ht="15" customHeight="1" outlineLevel="1">
      <c r="B126" s="420" t="str">
        <f>B61</f>
        <v>Type of vehicle</v>
      </c>
      <c r="C126" s="260" t="s">
        <v>249</v>
      </c>
      <c r="D126" s="260" t="s">
        <v>249</v>
      </c>
      <c r="E126" s="260" t="s">
        <v>249</v>
      </c>
      <c r="F126" s="260" t="s">
        <v>249</v>
      </c>
      <c r="G126" s="260" t="s">
        <v>249</v>
      </c>
      <c r="H126" s="420" t="str">
        <f>G123</f>
        <v>[Selection]</v>
      </c>
      <c r="J126" s="403"/>
      <c r="U126" s="405"/>
      <c r="V126" s="405"/>
      <c r="W126" s="405"/>
      <c r="X126" s="405"/>
      <c r="Y126" s="405"/>
      <c r="Z126" s="405"/>
      <c r="AA126" s="405"/>
      <c r="AB126" s="405"/>
      <c r="AC126" s="405"/>
      <c r="AD126" s="405"/>
      <c r="AE126" s="405"/>
      <c r="AF126" s="405"/>
      <c r="AG126" s="405"/>
      <c r="AH126" s="405"/>
      <c r="AI126" s="405"/>
      <c r="AJ126" s="405"/>
      <c r="AK126" s="405"/>
      <c r="AL126" s="405"/>
      <c r="AM126" s="405"/>
      <c r="AN126" s="405"/>
      <c r="AO126" s="405"/>
      <c r="AP126" s="405"/>
      <c r="AQ126" s="405"/>
      <c r="AR126" s="405"/>
      <c r="AS126" s="405"/>
      <c r="AT126" s="405"/>
      <c r="AU126" s="405"/>
      <c r="AV126" s="405"/>
      <c r="AW126" s="405"/>
      <c r="AX126" s="405"/>
      <c r="AY126" s="405"/>
      <c r="AZ126" s="405"/>
      <c r="BA126" s="405"/>
      <c r="BB126" s="405"/>
      <c r="BC126" s="405"/>
      <c r="BD126" s="405"/>
      <c r="BE126" s="405"/>
      <c r="BF126" s="405"/>
      <c r="BG126" s="405"/>
      <c r="BH126" s="405"/>
      <c r="BI126" s="405"/>
      <c r="BJ126" s="405"/>
      <c r="BK126" s="405"/>
      <c r="BL126" s="405"/>
      <c r="BM126" s="405"/>
      <c r="BN126" s="405"/>
      <c r="BO126" s="405"/>
      <c r="BP126" s="405"/>
      <c r="BQ126" s="405"/>
      <c r="BR126" s="405"/>
      <c r="BS126" s="405"/>
      <c r="BT126" s="405"/>
      <c r="BU126" s="405"/>
      <c r="BV126" s="405"/>
      <c r="BW126" s="405"/>
      <c r="BX126" s="405"/>
      <c r="BY126" s="405"/>
      <c r="BZ126" s="405"/>
      <c r="CA126" s="405"/>
      <c r="CB126" s="405"/>
      <c r="CC126" s="405"/>
      <c r="CD126" s="405"/>
      <c r="CE126" s="405"/>
      <c r="CF126" s="405"/>
      <c r="CG126" s="405"/>
      <c r="CH126" s="405"/>
      <c r="CI126" s="405"/>
      <c r="CJ126" s="405"/>
      <c r="CK126" s="405"/>
      <c r="CL126" s="405"/>
      <c r="CM126" s="405"/>
      <c r="CN126" s="405"/>
      <c r="CO126" s="405"/>
      <c r="CP126" s="405"/>
      <c r="CQ126" s="405"/>
      <c r="CR126" s="405"/>
      <c r="CS126" s="405"/>
      <c r="CT126" s="405"/>
      <c r="CU126" s="405"/>
      <c r="CV126" s="405"/>
      <c r="CW126" s="405"/>
      <c r="CX126" s="405"/>
      <c r="CY126" s="405"/>
      <c r="CZ126" s="405"/>
      <c r="DA126" s="405"/>
      <c r="DB126" s="405"/>
      <c r="DC126" s="405"/>
      <c r="DD126" s="405"/>
      <c r="DE126" s="405"/>
      <c r="DF126" s="405"/>
      <c r="DG126" s="405"/>
      <c r="DH126" s="405"/>
      <c r="DI126" s="405"/>
      <c r="DJ126" s="405"/>
      <c r="DK126" s="405"/>
      <c r="DL126" s="405"/>
      <c r="DM126" s="405"/>
      <c r="DN126" s="405"/>
      <c r="DO126" s="405"/>
      <c r="DP126" s="405"/>
      <c r="DQ126" s="405"/>
      <c r="DR126" s="405"/>
      <c r="DS126" s="405"/>
      <c r="DT126" s="405"/>
      <c r="DU126" s="405"/>
      <c r="DV126" s="405"/>
      <c r="DW126" s="405"/>
      <c r="DX126" s="405"/>
      <c r="DY126" s="405"/>
      <c r="DZ126" s="405"/>
      <c r="EA126" s="405"/>
      <c r="EB126" s="405"/>
      <c r="EC126" s="405"/>
      <c r="ED126" s="405"/>
      <c r="EE126" s="405"/>
      <c r="EF126" s="405"/>
      <c r="EG126" s="405"/>
      <c r="EH126" s="405"/>
      <c r="EI126" s="405"/>
      <c r="EJ126" s="405"/>
      <c r="EK126" s="405"/>
      <c r="EL126" s="405"/>
      <c r="EM126" s="405"/>
      <c r="EN126" s="405"/>
    </row>
    <row r="127" spans="2:144" ht="15" customHeight="1" outlineLevel="1">
      <c r="B127" s="411" t="str">
        <f>B62</f>
        <v>Distance</v>
      </c>
      <c r="C127" s="359">
        <v>0</v>
      </c>
      <c r="D127" s="359">
        <v>0</v>
      </c>
      <c r="E127" s="359">
        <v>0</v>
      </c>
      <c r="F127" s="359">
        <v>0</v>
      </c>
      <c r="G127" s="359">
        <v>0</v>
      </c>
      <c r="H127" s="411" t="str">
        <f>H117</f>
        <v>[km]</v>
      </c>
      <c r="J127" s="403"/>
      <c r="U127" s="405"/>
      <c r="V127" s="405"/>
      <c r="W127" s="405"/>
      <c r="X127" s="405"/>
      <c r="Y127" s="405"/>
      <c r="Z127" s="405"/>
      <c r="AA127" s="405"/>
      <c r="AB127" s="405"/>
      <c r="AC127" s="405"/>
      <c r="AD127" s="405"/>
      <c r="AE127" s="405"/>
      <c r="AF127" s="405"/>
      <c r="AG127" s="405"/>
      <c r="AH127" s="405"/>
      <c r="AI127" s="405"/>
      <c r="AJ127" s="405"/>
      <c r="AK127" s="405"/>
      <c r="AL127" s="405"/>
      <c r="AM127" s="405"/>
      <c r="AN127" s="405"/>
      <c r="AO127" s="405"/>
      <c r="AP127" s="405"/>
      <c r="AQ127" s="405"/>
      <c r="AR127" s="405"/>
      <c r="AS127" s="405"/>
      <c r="AT127" s="405"/>
      <c r="AU127" s="405"/>
      <c r="AV127" s="405"/>
      <c r="AW127" s="405"/>
      <c r="AX127" s="405"/>
      <c r="AY127" s="405"/>
      <c r="AZ127" s="405"/>
      <c r="BA127" s="405"/>
      <c r="BB127" s="405"/>
      <c r="BC127" s="405"/>
      <c r="BD127" s="405"/>
      <c r="BE127" s="405"/>
      <c r="BF127" s="405"/>
      <c r="BG127" s="405"/>
      <c r="BH127" s="405"/>
      <c r="BI127" s="405"/>
      <c r="BJ127" s="405"/>
      <c r="BK127" s="405"/>
      <c r="BL127" s="405"/>
      <c r="BM127" s="405"/>
      <c r="BN127" s="405"/>
      <c r="BO127" s="405"/>
      <c r="BP127" s="405"/>
      <c r="BQ127" s="405"/>
      <c r="BR127" s="405"/>
      <c r="BS127" s="405"/>
      <c r="BT127" s="405"/>
      <c r="BU127" s="405"/>
      <c r="BV127" s="405"/>
      <c r="BW127" s="405"/>
      <c r="BX127" s="405"/>
      <c r="BY127" s="405"/>
      <c r="BZ127" s="405"/>
      <c r="CA127" s="405"/>
      <c r="CB127" s="405"/>
      <c r="CC127" s="405"/>
      <c r="CD127" s="405"/>
      <c r="CE127" s="405"/>
      <c r="CF127" s="405"/>
      <c r="CG127" s="405"/>
      <c r="CH127" s="405"/>
      <c r="CI127" s="405"/>
      <c r="CJ127" s="405"/>
      <c r="CK127" s="405"/>
      <c r="CL127" s="405"/>
      <c r="CM127" s="405"/>
      <c r="CN127" s="405"/>
      <c r="CO127" s="405"/>
      <c r="CP127" s="405"/>
      <c r="CQ127" s="405"/>
      <c r="CR127" s="405"/>
      <c r="CS127" s="405"/>
      <c r="CT127" s="405"/>
      <c r="CU127" s="405"/>
      <c r="CV127" s="405"/>
      <c r="CW127" s="405"/>
      <c r="CX127" s="405"/>
      <c r="CY127" s="405"/>
      <c r="CZ127" s="405"/>
      <c r="DA127" s="405"/>
      <c r="DB127" s="405"/>
      <c r="DC127" s="405"/>
      <c r="DD127" s="405"/>
      <c r="DE127" s="405"/>
      <c r="DF127" s="405"/>
      <c r="DG127" s="405"/>
      <c r="DH127" s="405"/>
      <c r="DI127" s="405"/>
      <c r="DJ127" s="405"/>
      <c r="DK127" s="405"/>
      <c r="DL127" s="405"/>
      <c r="DM127" s="405"/>
      <c r="DN127" s="405"/>
      <c r="DO127" s="405"/>
      <c r="DP127" s="405"/>
      <c r="DQ127" s="405"/>
      <c r="DR127" s="405"/>
      <c r="DS127" s="405"/>
      <c r="DT127" s="405"/>
      <c r="DU127" s="405"/>
      <c r="DV127" s="405"/>
      <c r="DW127" s="405"/>
      <c r="DX127" s="405"/>
      <c r="DY127" s="405"/>
      <c r="DZ127" s="405"/>
      <c r="EA127" s="405"/>
      <c r="EB127" s="405"/>
      <c r="EC127" s="405"/>
      <c r="ED127" s="405"/>
      <c r="EE127" s="405"/>
      <c r="EF127" s="405"/>
      <c r="EG127" s="405"/>
      <c r="EH127" s="405"/>
      <c r="EI127" s="405"/>
      <c r="EJ127" s="405"/>
      <c r="EK127" s="405"/>
      <c r="EL127" s="405"/>
      <c r="EM127" s="405"/>
      <c r="EN127" s="405"/>
    </row>
    <row r="128" spans="2:144" ht="15" customHeight="1" outlineLevel="1">
      <c r="B128" s="420" t="str">
        <f>B63</f>
        <v>Travel time</v>
      </c>
      <c r="C128" s="359">
        <v>0</v>
      </c>
      <c r="D128" s="359">
        <v>0</v>
      </c>
      <c r="E128" s="359">
        <v>0</v>
      </c>
      <c r="F128" s="359">
        <v>0</v>
      </c>
      <c r="G128" s="359">
        <v>0</v>
      </c>
      <c r="H128" s="420" t="str">
        <f>H63</f>
        <v>[h]</v>
      </c>
      <c r="J128" s="403"/>
      <c r="U128" s="405"/>
      <c r="V128" s="405"/>
      <c r="W128" s="405"/>
      <c r="X128" s="405"/>
      <c r="Y128" s="405"/>
      <c r="Z128" s="405"/>
      <c r="AA128" s="405"/>
      <c r="AB128" s="405"/>
      <c r="AC128" s="405"/>
      <c r="AD128" s="405"/>
      <c r="AE128" s="405"/>
      <c r="AF128" s="405"/>
      <c r="AG128" s="405"/>
      <c r="AH128" s="405"/>
      <c r="AI128" s="405"/>
      <c r="AJ128" s="405"/>
      <c r="AK128" s="405"/>
      <c r="AL128" s="405"/>
      <c r="AM128" s="405"/>
      <c r="AN128" s="405"/>
      <c r="AO128" s="405"/>
      <c r="AP128" s="405"/>
      <c r="AQ128" s="405"/>
      <c r="AR128" s="405"/>
      <c r="AS128" s="405"/>
      <c r="AT128" s="405"/>
      <c r="AU128" s="405"/>
      <c r="AV128" s="405"/>
      <c r="AW128" s="405"/>
      <c r="AX128" s="405"/>
      <c r="AY128" s="405"/>
      <c r="AZ128" s="405"/>
      <c r="BA128" s="405"/>
      <c r="BB128" s="405"/>
      <c r="BC128" s="405"/>
      <c r="BD128" s="405"/>
      <c r="BE128" s="405"/>
      <c r="BF128" s="405"/>
      <c r="BG128" s="405"/>
      <c r="BH128" s="405"/>
      <c r="BI128" s="405"/>
      <c r="BJ128" s="405"/>
      <c r="BK128" s="405"/>
      <c r="BL128" s="405"/>
      <c r="BM128" s="405"/>
      <c r="BN128" s="405"/>
      <c r="BO128" s="405"/>
      <c r="BP128" s="405"/>
      <c r="BQ128" s="405"/>
      <c r="BR128" s="405"/>
      <c r="BS128" s="405"/>
      <c r="BT128" s="405"/>
      <c r="BU128" s="405"/>
      <c r="BV128" s="405"/>
      <c r="BW128" s="405"/>
      <c r="BX128" s="405"/>
      <c r="BY128" s="405"/>
      <c r="BZ128" s="405"/>
      <c r="CA128" s="405"/>
      <c r="CB128" s="405"/>
      <c r="CC128" s="405"/>
      <c r="CD128" s="405"/>
      <c r="CE128" s="405"/>
      <c r="CF128" s="405"/>
      <c r="CG128" s="405"/>
      <c r="CH128" s="405"/>
      <c r="CI128" s="405"/>
      <c r="CJ128" s="405"/>
      <c r="CK128" s="405"/>
      <c r="CL128" s="405"/>
      <c r="CM128" s="405"/>
      <c r="CN128" s="405"/>
      <c r="CO128" s="405"/>
      <c r="CP128" s="405"/>
      <c r="CQ128" s="405"/>
      <c r="CR128" s="405"/>
      <c r="CS128" s="405"/>
      <c r="CT128" s="405"/>
      <c r="CU128" s="405"/>
      <c r="CV128" s="405"/>
      <c r="CW128" s="405"/>
      <c r="CX128" s="405"/>
      <c r="CY128" s="405"/>
      <c r="CZ128" s="405"/>
      <c r="DA128" s="405"/>
      <c r="DB128" s="405"/>
      <c r="DC128" s="405"/>
      <c r="DD128" s="405"/>
      <c r="DE128" s="405"/>
      <c r="DF128" s="405"/>
      <c r="DG128" s="405"/>
      <c r="DH128" s="405"/>
      <c r="DI128" s="405"/>
      <c r="DJ128" s="405"/>
      <c r="DK128" s="405"/>
      <c r="DL128" s="405"/>
      <c r="DM128" s="405"/>
      <c r="DN128" s="405"/>
      <c r="DO128" s="405"/>
      <c r="DP128" s="405"/>
      <c r="DQ128" s="405"/>
      <c r="DR128" s="405"/>
      <c r="DS128" s="405"/>
      <c r="DT128" s="405"/>
      <c r="DU128" s="405"/>
      <c r="DV128" s="405"/>
      <c r="DW128" s="405"/>
      <c r="DX128" s="405"/>
      <c r="DY128" s="405"/>
      <c r="DZ128" s="405"/>
      <c r="EA128" s="405"/>
      <c r="EB128" s="405"/>
      <c r="EC128" s="405"/>
      <c r="ED128" s="405"/>
      <c r="EE128" s="405"/>
      <c r="EF128" s="405"/>
      <c r="EG128" s="405"/>
      <c r="EH128" s="405"/>
      <c r="EI128" s="405"/>
      <c r="EJ128" s="405"/>
      <c r="EK128" s="405"/>
      <c r="EL128" s="405"/>
      <c r="EM128" s="405"/>
      <c r="EN128" s="405"/>
    </row>
    <row r="129" spans="2:144" ht="15" customHeight="1" outlineLevel="1">
      <c r="B129" s="420" t="str">
        <f>B64</f>
        <v>Amount of transported raw material</v>
      </c>
      <c r="C129" s="359">
        <v>0</v>
      </c>
      <c r="D129" s="359">
        <v>0</v>
      </c>
      <c r="E129" s="359">
        <v>0</v>
      </c>
      <c r="F129" s="359">
        <v>0</v>
      </c>
      <c r="G129" s="454">
        <f>+F91-SUM(C129:F129)</f>
        <v>0</v>
      </c>
      <c r="H129" s="420" t="str">
        <f>H87</f>
        <v>[kg]</v>
      </c>
      <c r="J129" s="403"/>
      <c r="U129" s="405"/>
      <c r="V129" s="405"/>
      <c r="W129" s="405"/>
      <c r="X129" s="405"/>
      <c r="Y129" s="405"/>
      <c r="Z129" s="405"/>
      <c r="AA129" s="405"/>
      <c r="AB129" s="405"/>
      <c r="AC129" s="405"/>
      <c r="AD129" s="405"/>
      <c r="AE129" s="405"/>
      <c r="AF129" s="405"/>
      <c r="AG129" s="405"/>
      <c r="AH129" s="405"/>
      <c r="AI129" s="405"/>
      <c r="AJ129" s="405"/>
      <c r="AK129" s="405"/>
      <c r="AL129" s="405"/>
      <c r="AM129" s="405"/>
      <c r="AN129" s="405"/>
      <c r="AO129" s="405"/>
      <c r="AP129" s="405"/>
      <c r="AQ129" s="405"/>
      <c r="AR129" s="405"/>
      <c r="AS129" s="405"/>
      <c r="AT129" s="405"/>
      <c r="AU129" s="405"/>
      <c r="AV129" s="405"/>
      <c r="AW129" s="405"/>
      <c r="AX129" s="405"/>
      <c r="AY129" s="405"/>
      <c r="AZ129" s="405"/>
      <c r="BA129" s="405"/>
      <c r="BB129" s="405"/>
      <c r="BC129" s="405"/>
      <c r="BD129" s="405"/>
      <c r="BE129" s="405"/>
      <c r="BF129" s="405"/>
      <c r="BG129" s="405"/>
      <c r="BH129" s="405"/>
      <c r="BI129" s="405"/>
      <c r="BJ129" s="405"/>
      <c r="BK129" s="405"/>
      <c r="BL129" s="405"/>
      <c r="BM129" s="405"/>
      <c r="BN129" s="405"/>
      <c r="BO129" s="405"/>
      <c r="BP129" s="405"/>
      <c r="BQ129" s="405"/>
      <c r="BR129" s="405"/>
      <c r="BS129" s="405"/>
      <c r="BT129" s="405"/>
      <c r="BU129" s="405"/>
      <c r="BV129" s="405"/>
      <c r="BW129" s="405"/>
      <c r="BX129" s="405"/>
      <c r="BY129" s="405"/>
      <c r="BZ129" s="405"/>
      <c r="CA129" s="405"/>
      <c r="CB129" s="405"/>
      <c r="CC129" s="405"/>
      <c r="CD129" s="405"/>
      <c r="CE129" s="405"/>
      <c r="CF129" s="405"/>
      <c r="CG129" s="405"/>
      <c r="CH129" s="405"/>
      <c r="CI129" s="405"/>
      <c r="CJ129" s="405"/>
      <c r="CK129" s="405"/>
      <c r="CL129" s="405"/>
      <c r="CM129" s="405"/>
      <c r="CN129" s="405"/>
      <c r="CO129" s="405"/>
      <c r="CP129" s="405"/>
      <c r="CQ129" s="405"/>
      <c r="CR129" s="405"/>
      <c r="CS129" s="405"/>
      <c r="CT129" s="405"/>
      <c r="CU129" s="405"/>
      <c r="CV129" s="405"/>
      <c r="CW129" s="405"/>
      <c r="CX129" s="405"/>
      <c r="CY129" s="405"/>
      <c r="CZ129" s="405"/>
      <c r="DA129" s="405"/>
      <c r="DB129" s="405"/>
      <c r="DC129" s="405"/>
      <c r="DD129" s="405"/>
      <c r="DE129" s="405"/>
      <c r="DF129" s="405"/>
      <c r="DG129" s="405"/>
      <c r="DH129" s="405"/>
      <c r="DI129" s="405"/>
      <c r="DJ129" s="405"/>
      <c r="DK129" s="405"/>
      <c r="DL129" s="405"/>
      <c r="DM129" s="405"/>
      <c r="DN129" s="405"/>
      <c r="DO129" s="405"/>
      <c r="DP129" s="405"/>
      <c r="DQ129" s="405"/>
      <c r="DR129" s="405"/>
      <c r="DS129" s="405"/>
      <c r="DT129" s="405"/>
      <c r="DU129" s="405"/>
      <c r="DV129" s="405"/>
      <c r="DW129" s="405"/>
      <c r="DX129" s="405"/>
      <c r="DY129" s="405"/>
      <c r="DZ129" s="405"/>
      <c r="EA129" s="405"/>
      <c r="EB129" s="405"/>
      <c r="EC129" s="405"/>
      <c r="ED129" s="405"/>
      <c r="EE129" s="405"/>
      <c r="EF129" s="405"/>
      <c r="EG129" s="405"/>
      <c r="EH129" s="405"/>
      <c r="EI129" s="405"/>
      <c r="EJ129" s="405"/>
      <c r="EK129" s="405"/>
      <c r="EL129" s="405"/>
      <c r="EM129" s="405"/>
      <c r="EN129" s="405"/>
    </row>
    <row r="130" spans="2:144" ht="15" customHeight="1" outlineLevel="1">
      <c r="B130" s="467"/>
      <c r="C130" s="80"/>
      <c r="D130" s="404"/>
      <c r="E130" s="404"/>
      <c r="F130" s="413"/>
      <c r="G130" s="413"/>
      <c r="H130" s="403"/>
      <c r="J130" s="403"/>
      <c r="U130" s="405"/>
      <c r="V130" s="405"/>
      <c r="W130" s="405"/>
      <c r="X130" s="405"/>
      <c r="Y130" s="405"/>
      <c r="Z130" s="405"/>
      <c r="AA130" s="405"/>
      <c r="AB130" s="405"/>
      <c r="AC130" s="405"/>
      <c r="AD130" s="405"/>
      <c r="AE130" s="405"/>
      <c r="AF130" s="405"/>
      <c r="AG130" s="405"/>
      <c r="AH130" s="405"/>
      <c r="AI130" s="405"/>
      <c r="AJ130" s="405"/>
      <c r="AK130" s="405"/>
      <c r="AL130" s="405"/>
      <c r="AM130" s="405"/>
      <c r="AN130" s="405"/>
      <c r="AO130" s="405"/>
      <c r="AP130" s="405"/>
      <c r="AQ130" s="405"/>
      <c r="AR130" s="405"/>
      <c r="AS130" s="405"/>
      <c r="AT130" s="405"/>
      <c r="AU130" s="405"/>
      <c r="AV130" s="405"/>
      <c r="AW130" s="405"/>
      <c r="AX130" s="405"/>
      <c r="AY130" s="405"/>
      <c r="AZ130" s="405"/>
      <c r="BA130" s="405"/>
      <c r="BB130" s="405"/>
      <c r="BC130" s="405"/>
      <c r="BD130" s="405"/>
      <c r="BE130" s="405"/>
      <c r="BF130" s="405"/>
      <c r="BG130" s="405"/>
      <c r="BH130" s="405"/>
      <c r="BI130" s="405"/>
      <c r="BJ130" s="405"/>
      <c r="BK130" s="405"/>
      <c r="BL130" s="405"/>
      <c r="BM130" s="405"/>
      <c r="BN130" s="405"/>
      <c r="BO130" s="405"/>
      <c r="BP130" s="405"/>
      <c r="BQ130" s="405"/>
      <c r="BR130" s="405"/>
      <c r="BS130" s="405"/>
      <c r="BT130" s="405"/>
      <c r="BU130" s="405"/>
      <c r="BV130" s="405"/>
      <c r="BW130" s="405"/>
      <c r="BX130" s="405"/>
      <c r="BY130" s="405"/>
      <c r="BZ130" s="405"/>
      <c r="CA130" s="405"/>
      <c r="CB130" s="405"/>
      <c r="CC130" s="405"/>
      <c r="CD130" s="405"/>
      <c r="CE130" s="405"/>
      <c r="CF130" s="405"/>
      <c r="CG130" s="405"/>
      <c r="CH130" s="405"/>
      <c r="CI130" s="405"/>
      <c r="CJ130" s="405"/>
      <c r="CK130" s="405"/>
      <c r="CL130" s="405"/>
      <c r="CM130" s="405"/>
      <c r="CN130" s="405"/>
      <c r="CO130" s="405"/>
      <c r="CP130" s="405"/>
      <c r="CQ130" s="405"/>
      <c r="CR130" s="405"/>
      <c r="CS130" s="405"/>
      <c r="CT130" s="405"/>
      <c r="CU130" s="405"/>
      <c r="CV130" s="405"/>
      <c r="CW130" s="405"/>
      <c r="CX130" s="405"/>
      <c r="CY130" s="405"/>
      <c r="CZ130" s="405"/>
      <c r="DA130" s="405"/>
      <c r="DB130" s="405"/>
      <c r="DC130" s="405"/>
      <c r="DD130" s="405"/>
      <c r="DE130" s="405"/>
      <c r="DF130" s="405"/>
      <c r="DG130" s="405"/>
      <c r="DH130" s="405"/>
      <c r="DI130" s="405"/>
      <c r="DJ130" s="405"/>
      <c r="DK130" s="405"/>
      <c r="DL130" s="405"/>
      <c r="DM130" s="405"/>
      <c r="DN130" s="405"/>
      <c r="DO130" s="405"/>
      <c r="DP130" s="405"/>
      <c r="DQ130" s="405"/>
      <c r="DR130" s="405"/>
      <c r="DS130" s="405"/>
      <c r="DT130" s="405"/>
      <c r="DU130" s="405"/>
      <c r="DV130" s="405"/>
      <c r="DW130" s="405"/>
      <c r="DX130" s="405"/>
      <c r="DY130" s="405"/>
      <c r="DZ130" s="405"/>
      <c r="EA130" s="405"/>
      <c r="EB130" s="405"/>
      <c r="EC130" s="405"/>
      <c r="ED130" s="405"/>
      <c r="EE130" s="405"/>
      <c r="EF130" s="405"/>
      <c r="EG130" s="405"/>
      <c r="EH130" s="405"/>
      <c r="EI130" s="405"/>
      <c r="EJ130" s="405"/>
      <c r="EK130" s="405"/>
      <c r="EL130" s="405"/>
      <c r="EM130" s="405"/>
      <c r="EN130" s="405"/>
    </row>
    <row r="131" spans="2:144" ht="15" customHeight="1" outlineLevel="1">
      <c r="B131" s="472" t="str">
        <f>VLOOKUP("Input_3a_Auxiliary_Additional",Hidden_Translations!$B$11:$J$1184,Hidden_Translations!$C$8,FALSE)</f>
        <v xml:space="preserve">Filling in these cells is only required if auxliariy powered units are used: </v>
      </c>
      <c r="C131" s="80"/>
      <c r="D131" s="404"/>
      <c r="E131" s="404"/>
      <c r="F131" s="413"/>
      <c r="G131" s="413"/>
      <c r="H131" s="403"/>
      <c r="J131" s="403"/>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5"/>
      <c r="AY131" s="405"/>
      <c r="AZ131" s="405"/>
      <c r="BA131" s="405"/>
      <c r="BB131" s="405"/>
      <c r="BC131" s="405"/>
      <c r="BD131" s="405"/>
      <c r="BE131" s="405"/>
      <c r="BF131" s="405"/>
      <c r="BG131" s="405"/>
      <c r="BH131" s="405"/>
      <c r="BI131" s="405"/>
      <c r="BJ131" s="405"/>
      <c r="BK131" s="405"/>
      <c r="BL131" s="405"/>
      <c r="BM131" s="405"/>
      <c r="BN131" s="405"/>
      <c r="BO131" s="405"/>
      <c r="BP131" s="405"/>
      <c r="BQ131" s="405"/>
      <c r="BR131" s="405"/>
      <c r="BS131" s="405"/>
      <c r="BT131" s="405"/>
      <c r="BU131" s="405"/>
      <c r="BV131" s="405"/>
      <c r="BW131" s="405"/>
      <c r="BX131" s="405"/>
      <c r="BY131" s="405"/>
      <c r="BZ131" s="405"/>
      <c r="CA131" s="405"/>
      <c r="CB131" s="405"/>
      <c r="CC131" s="405"/>
      <c r="CD131" s="405"/>
      <c r="CE131" s="405"/>
      <c r="CF131" s="405"/>
      <c r="CG131" s="405"/>
      <c r="CH131" s="405"/>
      <c r="CI131" s="405"/>
      <c r="CJ131" s="405"/>
      <c r="CK131" s="405"/>
      <c r="CL131" s="405"/>
      <c r="CM131" s="405"/>
      <c r="CN131" s="405"/>
      <c r="CO131" s="405"/>
      <c r="CP131" s="405"/>
      <c r="CQ131" s="405"/>
      <c r="CR131" s="405"/>
      <c r="CS131" s="405"/>
      <c r="CT131" s="405"/>
      <c r="CU131" s="405"/>
      <c r="CV131" s="405"/>
      <c r="CW131" s="405"/>
      <c r="CX131" s="405"/>
      <c r="CY131" s="405"/>
      <c r="CZ131" s="405"/>
      <c r="DA131" s="405"/>
      <c r="DB131" s="405"/>
      <c r="DC131" s="405"/>
      <c r="DD131" s="405"/>
      <c r="DE131" s="405"/>
      <c r="DF131" s="405"/>
      <c r="DG131" s="405"/>
      <c r="DH131" s="405"/>
      <c r="DI131" s="405"/>
      <c r="DJ131" s="405"/>
      <c r="DK131" s="405"/>
      <c r="DL131" s="405"/>
      <c r="DM131" s="405"/>
      <c r="DN131" s="405"/>
      <c r="DO131" s="405"/>
      <c r="DP131" s="405"/>
      <c r="DQ131" s="405"/>
      <c r="DR131" s="405"/>
      <c r="DS131" s="405"/>
      <c r="DT131" s="405"/>
      <c r="DU131" s="405"/>
      <c r="DV131" s="405"/>
      <c r="DW131" s="405"/>
      <c r="DX131" s="405"/>
      <c r="DY131" s="405"/>
      <c r="DZ131" s="405"/>
      <c r="EA131" s="405"/>
      <c r="EB131" s="405"/>
      <c r="EC131" s="405"/>
      <c r="ED131" s="405"/>
      <c r="EE131" s="405"/>
      <c r="EF131" s="405"/>
      <c r="EG131" s="405"/>
      <c r="EH131" s="405"/>
      <c r="EI131" s="405"/>
      <c r="EJ131" s="405"/>
      <c r="EK131" s="405"/>
      <c r="EL131" s="405"/>
      <c r="EM131" s="405"/>
      <c r="EN131" s="405"/>
    </row>
    <row r="132" spans="2:144" ht="15" customHeight="1" outlineLevel="1">
      <c r="C132" s="456" t="str">
        <f>C70</f>
        <v>Vehicle 1</v>
      </c>
      <c r="D132" s="456" t="str">
        <f>D70</f>
        <v>Vehicle 2</v>
      </c>
      <c r="E132" s="456" t="str">
        <f>E70</f>
        <v>Vehicle 3</v>
      </c>
      <c r="F132" s="456" t="str">
        <f>F70</f>
        <v>Vehicle 4</v>
      </c>
      <c r="G132" s="456" t="str">
        <f>G70</f>
        <v>Vehicle 5</v>
      </c>
      <c r="J132" s="403"/>
      <c r="U132" s="405"/>
      <c r="V132" s="405"/>
      <c r="W132" s="405"/>
      <c r="X132" s="405"/>
      <c r="Y132" s="405"/>
      <c r="Z132" s="405"/>
      <c r="AA132" s="405"/>
      <c r="AB132" s="405"/>
      <c r="AC132" s="405"/>
      <c r="AD132" s="405"/>
      <c r="AE132" s="405"/>
      <c r="AF132" s="405"/>
      <c r="AG132" s="405"/>
      <c r="AH132" s="405"/>
      <c r="AI132" s="405"/>
      <c r="AJ132" s="405"/>
      <c r="AK132" s="405"/>
      <c r="AL132" s="405"/>
      <c r="AM132" s="405"/>
      <c r="AN132" s="405"/>
      <c r="AO132" s="405"/>
      <c r="AP132" s="405"/>
      <c r="AQ132" s="405"/>
      <c r="AR132" s="405"/>
      <c r="AS132" s="405"/>
      <c r="AT132" s="405"/>
      <c r="AU132" s="405"/>
      <c r="AV132" s="405"/>
      <c r="AW132" s="405"/>
      <c r="AX132" s="405"/>
      <c r="AY132" s="405"/>
      <c r="AZ132" s="405"/>
      <c r="BA132" s="405"/>
      <c r="BB132" s="405"/>
      <c r="BC132" s="405"/>
      <c r="BD132" s="405"/>
      <c r="BE132" s="405"/>
      <c r="BF132" s="405"/>
      <c r="BG132" s="405"/>
      <c r="BH132" s="405"/>
      <c r="BI132" s="405"/>
      <c r="BJ132" s="405"/>
      <c r="BK132" s="405"/>
      <c r="BL132" s="405"/>
      <c r="BM132" s="405"/>
      <c r="BN132" s="405"/>
      <c r="BO132" s="405"/>
      <c r="BP132" s="405"/>
      <c r="BQ132" s="405"/>
      <c r="BR132" s="405"/>
      <c r="BS132" s="405"/>
      <c r="BT132" s="405"/>
      <c r="BU132" s="405"/>
      <c r="BV132" s="405"/>
      <c r="BW132" s="405"/>
      <c r="BX132" s="405"/>
      <c r="BY132" s="405"/>
      <c r="BZ132" s="405"/>
      <c r="CA132" s="405"/>
      <c r="CB132" s="405"/>
      <c r="CC132" s="405"/>
      <c r="CD132" s="405"/>
      <c r="CE132" s="405"/>
      <c r="CF132" s="405"/>
      <c r="CG132" s="405"/>
      <c r="CH132" s="405"/>
      <c r="CI132" s="405"/>
      <c r="CJ132" s="405"/>
      <c r="CK132" s="405"/>
      <c r="CL132" s="405"/>
      <c r="CM132" s="405"/>
      <c r="CN132" s="405"/>
      <c r="CO132" s="405"/>
      <c r="CP132" s="405"/>
      <c r="CQ132" s="405"/>
      <c r="CR132" s="405"/>
      <c r="CS132" s="405"/>
      <c r="CT132" s="405"/>
      <c r="CU132" s="405"/>
      <c r="CV132" s="405"/>
      <c r="CW132" s="405"/>
      <c r="CX132" s="405"/>
      <c r="CY132" s="405"/>
      <c r="CZ132" s="405"/>
      <c r="DA132" s="405"/>
      <c r="DB132" s="405"/>
      <c r="DC132" s="405"/>
      <c r="DD132" s="405"/>
      <c r="DE132" s="405"/>
      <c r="DF132" s="405"/>
      <c r="DG132" s="405"/>
      <c r="DH132" s="405"/>
      <c r="DI132" s="405"/>
      <c r="DJ132" s="405"/>
      <c r="DK132" s="405"/>
      <c r="DL132" s="405"/>
      <c r="DM132" s="405"/>
      <c r="DN132" s="405"/>
      <c r="DO132" s="405"/>
      <c r="DP132" s="405"/>
      <c r="DQ132" s="405"/>
      <c r="DR132" s="405"/>
      <c r="DS132" s="405"/>
      <c r="DT132" s="405"/>
      <c r="DU132" s="405"/>
      <c r="DV132" s="405"/>
      <c r="DW132" s="405"/>
      <c r="DX132" s="405"/>
      <c r="DY132" s="405"/>
      <c r="DZ132" s="405"/>
      <c r="EA132" s="405"/>
      <c r="EB132" s="405"/>
      <c r="EC132" s="405"/>
      <c r="ED132" s="405"/>
      <c r="EE132" s="405"/>
      <c r="EF132" s="405"/>
      <c r="EG132" s="405"/>
      <c r="EH132" s="405"/>
      <c r="EI132" s="405"/>
      <c r="EJ132" s="405"/>
      <c r="EK132" s="405"/>
      <c r="EL132" s="405"/>
      <c r="EM132" s="405"/>
      <c r="EN132" s="405"/>
    </row>
    <row r="133" spans="2:144" ht="15" customHeight="1" outlineLevel="1">
      <c r="B133" s="411" t="str">
        <f>B71</f>
        <v xml:space="preserve">Refrigerant </v>
      </c>
      <c r="C133" s="253" t="s">
        <v>249</v>
      </c>
      <c r="D133" s="253" t="s">
        <v>249</v>
      </c>
      <c r="E133" s="253" t="s">
        <v>249</v>
      </c>
      <c r="F133" s="253" t="s">
        <v>249</v>
      </c>
      <c r="G133" s="360" t="s">
        <v>249</v>
      </c>
      <c r="H133" s="411" t="str">
        <f>H126</f>
        <v>[Selection]</v>
      </c>
      <c r="J133" s="403"/>
      <c r="U133" s="405"/>
      <c r="V133" s="405"/>
      <c r="W133" s="405"/>
      <c r="X133" s="405"/>
      <c r="Y133" s="405"/>
      <c r="Z133" s="405"/>
      <c r="AA133" s="405"/>
      <c r="AB133" s="405"/>
      <c r="AC133" s="405"/>
      <c r="AD133" s="405"/>
      <c r="AE133" s="405"/>
      <c r="AF133" s="405"/>
      <c r="AG133" s="405"/>
      <c r="AH133" s="405"/>
      <c r="AI133" s="405"/>
      <c r="AJ133" s="405"/>
      <c r="AK133" s="405"/>
      <c r="AL133" s="405"/>
      <c r="AM133" s="405"/>
      <c r="AN133" s="405"/>
      <c r="AO133" s="405"/>
      <c r="AP133" s="405"/>
      <c r="AQ133" s="405"/>
      <c r="AR133" s="405"/>
      <c r="AS133" s="405"/>
      <c r="AT133" s="405"/>
      <c r="AU133" s="405"/>
      <c r="AV133" s="405"/>
      <c r="AW133" s="405"/>
      <c r="AX133" s="405"/>
      <c r="AY133" s="405"/>
      <c r="AZ133" s="405"/>
      <c r="BA133" s="405"/>
      <c r="BB133" s="405"/>
      <c r="BC133" s="405"/>
      <c r="BD133" s="405"/>
      <c r="BE133" s="405"/>
      <c r="BF133" s="405"/>
      <c r="BG133" s="405"/>
      <c r="BH133" s="405"/>
      <c r="BI133" s="405"/>
      <c r="BJ133" s="405"/>
      <c r="BK133" s="405"/>
      <c r="BL133" s="405"/>
      <c r="BM133" s="405"/>
      <c r="BN133" s="405"/>
      <c r="BO133" s="405"/>
      <c r="BP133" s="405"/>
      <c r="BQ133" s="405"/>
      <c r="BR133" s="405"/>
      <c r="BS133" s="405"/>
      <c r="BT133" s="405"/>
      <c r="BU133" s="405"/>
      <c r="BV133" s="405"/>
      <c r="BW133" s="405"/>
      <c r="BX133" s="405"/>
      <c r="BY133" s="405"/>
      <c r="BZ133" s="405"/>
      <c r="CA133" s="405"/>
      <c r="CB133" s="405"/>
      <c r="CC133" s="405"/>
      <c r="CD133" s="405"/>
      <c r="CE133" s="405"/>
      <c r="CF133" s="405"/>
      <c r="CG133" s="405"/>
      <c r="CH133" s="405"/>
      <c r="CI133" s="405"/>
      <c r="CJ133" s="405"/>
      <c r="CK133" s="405"/>
      <c r="CL133" s="405"/>
      <c r="CM133" s="405"/>
      <c r="CN133" s="405"/>
      <c r="CO133" s="405"/>
      <c r="CP133" s="405"/>
      <c r="CQ133" s="405"/>
      <c r="CR133" s="405"/>
      <c r="CS133" s="405"/>
      <c r="CT133" s="405"/>
      <c r="CU133" s="405"/>
      <c r="CV133" s="405"/>
      <c r="CW133" s="405"/>
      <c r="CX133" s="405"/>
      <c r="CY133" s="405"/>
      <c r="CZ133" s="405"/>
      <c r="DA133" s="405"/>
      <c r="DB133" s="405"/>
      <c r="DC133" s="405"/>
      <c r="DD133" s="405"/>
      <c r="DE133" s="405"/>
      <c r="DF133" s="405"/>
      <c r="DG133" s="405"/>
      <c r="DH133" s="405"/>
      <c r="DI133" s="405"/>
      <c r="DJ133" s="405"/>
      <c r="DK133" s="405"/>
      <c r="DL133" s="405"/>
      <c r="DM133" s="405"/>
      <c r="DN133" s="405"/>
      <c r="DO133" s="405"/>
      <c r="DP133" s="405"/>
      <c r="DQ133" s="405"/>
      <c r="DR133" s="405"/>
      <c r="DS133" s="405"/>
      <c r="DT133" s="405"/>
      <c r="DU133" s="405"/>
      <c r="DV133" s="405"/>
      <c r="DW133" s="405"/>
      <c r="DX133" s="405"/>
      <c r="DY133" s="405"/>
      <c r="DZ133" s="405"/>
      <c r="EA133" s="405"/>
      <c r="EB133" s="405"/>
      <c r="EC133" s="405"/>
      <c r="ED133" s="405"/>
      <c r="EE133" s="405"/>
      <c r="EF133" s="405"/>
      <c r="EG133" s="405"/>
      <c r="EH133" s="405"/>
      <c r="EI133" s="405"/>
      <c r="EJ133" s="405"/>
      <c r="EK133" s="405"/>
      <c r="EL133" s="405"/>
      <c r="EM133" s="405"/>
      <c r="EN133" s="405"/>
    </row>
    <row r="134" spans="2:144" ht="15" customHeight="1" outlineLevel="1">
      <c r="B134" s="411" t="str">
        <f>B72</f>
        <v>Annual initial refrigerant precharge</v>
      </c>
      <c r="C134" s="359">
        <v>0</v>
      </c>
      <c r="D134" s="359">
        <v>0</v>
      </c>
      <c r="E134" s="359">
        <v>0</v>
      </c>
      <c r="F134" s="359">
        <v>0</v>
      </c>
      <c r="G134" s="359">
        <v>0</v>
      </c>
      <c r="H134" s="411" t="str">
        <f>H129</f>
        <v>[kg]</v>
      </c>
      <c r="J134" s="403"/>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405"/>
      <c r="AV134" s="405"/>
      <c r="AW134" s="405"/>
      <c r="AX134" s="405"/>
      <c r="AY134" s="405"/>
      <c r="AZ134" s="405"/>
      <c r="BA134" s="405"/>
      <c r="BB134" s="405"/>
      <c r="BC134" s="405"/>
      <c r="BD134" s="405"/>
      <c r="BE134" s="405"/>
      <c r="BF134" s="405"/>
      <c r="BG134" s="405"/>
      <c r="BH134" s="405"/>
      <c r="BI134" s="405"/>
      <c r="BJ134" s="405"/>
      <c r="BK134" s="405"/>
      <c r="BL134" s="405"/>
      <c r="BM134" s="405"/>
      <c r="BN134" s="405"/>
      <c r="BO134" s="405"/>
      <c r="BP134" s="405"/>
      <c r="BQ134" s="405"/>
      <c r="BR134" s="405"/>
      <c r="BS134" s="405"/>
      <c r="BT134" s="405"/>
      <c r="BU134" s="405"/>
      <c r="BV134" s="405"/>
      <c r="BW134" s="405"/>
      <c r="BX134" s="405"/>
      <c r="BY134" s="405"/>
      <c r="BZ134" s="405"/>
      <c r="CA134" s="405"/>
      <c r="CB134" s="405"/>
      <c r="CC134" s="405"/>
      <c r="CD134" s="405"/>
      <c r="CE134" s="405"/>
      <c r="CF134" s="405"/>
      <c r="CG134" s="405"/>
      <c r="CH134" s="405"/>
      <c r="CI134" s="405"/>
      <c r="CJ134" s="405"/>
      <c r="CK134" s="405"/>
      <c r="CL134" s="405"/>
      <c r="CM134" s="405"/>
      <c r="CN134" s="405"/>
      <c r="CO134" s="405"/>
      <c r="CP134" s="405"/>
      <c r="CQ134" s="405"/>
      <c r="CR134" s="405"/>
      <c r="CS134" s="405"/>
      <c r="CT134" s="405"/>
      <c r="CU134" s="405"/>
      <c r="CV134" s="405"/>
      <c r="CW134" s="405"/>
      <c r="CX134" s="405"/>
      <c r="CY134" s="405"/>
      <c r="CZ134" s="405"/>
      <c r="DA134" s="405"/>
      <c r="DB134" s="405"/>
      <c r="DC134" s="405"/>
      <c r="DD134" s="405"/>
      <c r="DE134" s="405"/>
      <c r="DF134" s="405"/>
      <c r="DG134" s="405"/>
      <c r="DH134" s="405"/>
      <c r="DI134" s="405"/>
      <c r="DJ134" s="405"/>
      <c r="DK134" s="405"/>
      <c r="DL134" s="405"/>
      <c r="DM134" s="405"/>
      <c r="DN134" s="405"/>
      <c r="DO134" s="405"/>
      <c r="DP134" s="405"/>
      <c r="DQ134" s="405"/>
      <c r="DR134" s="405"/>
      <c r="DS134" s="405"/>
      <c r="DT134" s="405"/>
      <c r="DU134" s="405"/>
      <c r="DV134" s="405"/>
      <c r="DW134" s="405"/>
      <c r="DX134" s="405"/>
      <c r="DY134" s="405"/>
      <c r="DZ134" s="405"/>
      <c r="EA134" s="405"/>
      <c r="EB134" s="405"/>
      <c r="EC134" s="405"/>
      <c r="ED134" s="405"/>
      <c r="EE134" s="405"/>
      <c r="EF134" s="405"/>
      <c r="EG134" s="405"/>
      <c r="EH134" s="405"/>
      <c r="EI134" s="405"/>
      <c r="EJ134" s="405"/>
      <c r="EK134" s="405"/>
      <c r="EL134" s="405"/>
      <c r="EM134" s="405"/>
      <c r="EN134" s="405"/>
    </row>
    <row r="135" spans="2:144" ht="15" customHeight="1" outlineLevel="1">
      <c r="B135" s="420" t="str">
        <f>B73</f>
        <v>Electrical consumption of auxiliary units</v>
      </c>
      <c r="C135" s="359">
        <v>0</v>
      </c>
      <c r="D135" s="359">
        <v>0</v>
      </c>
      <c r="E135" s="359">
        <v>0</v>
      </c>
      <c r="F135" s="359">
        <v>0</v>
      </c>
      <c r="G135" s="359">
        <v>0</v>
      </c>
      <c r="H135" s="420" t="str">
        <f>H73</f>
        <v>[kWh]</v>
      </c>
      <c r="J135" s="403"/>
      <c r="U135" s="405"/>
      <c r="V135" s="405"/>
      <c r="W135" s="405"/>
      <c r="X135" s="405"/>
      <c r="Y135" s="405"/>
      <c r="Z135" s="405"/>
      <c r="AA135" s="405"/>
      <c r="AB135" s="405"/>
      <c r="AC135" s="405"/>
      <c r="AD135" s="405"/>
      <c r="AE135" s="405"/>
      <c r="AF135" s="405"/>
      <c r="AG135" s="405"/>
      <c r="AH135" s="405"/>
      <c r="AI135" s="405"/>
      <c r="AJ135" s="405"/>
      <c r="AK135" s="405"/>
      <c r="AL135" s="405"/>
      <c r="AM135" s="405"/>
      <c r="AN135" s="405"/>
      <c r="AO135" s="405"/>
      <c r="AP135" s="405"/>
      <c r="AQ135" s="405"/>
      <c r="AR135" s="405"/>
      <c r="AS135" s="405"/>
      <c r="AT135" s="405"/>
      <c r="AU135" s="405"/>
      <c r="AV135" s="405"/>
      <c r="AW135" s="405"/>
      <c r="AX135" s="405"/>
      <c r="AY135" s="405"/>
      <c r="AZ135" s="405"/>
      <c r="BA135" s="405"/>
      <c r="BB135" s="405"/>
      <c r="BC135" s="405"/>
      <c r="BD135" s="405"/>
      <c r="BE135" s="405"/>
      <c r="BF135" s="405"/>
      <c r="BG135" s="405"/>
      <c r="BH135" s="405"/>
      <c r="BI135" s="405"/>
      <c r="BJ135" s="405"/>
      <c r="BK135" s="405"/>
      <c r="BL135" s="405"/>
      <c r="BM135" s="405"/>
      <c r="BN135" s="405"/>
      <c r="BO135" s="405"/>
      <c r="BP135" s="405"/>
      <c r="BQ135" s="405"/>
      <c r="BR135" s="405"/>
      <c r="BS135" s="405"/>
      <c r="BT135" s="405"/>
      <c r="BU135" s="405"/>
      <c r="BV135" s="405"/>
      <c r="BW135" s="405"/>
      <c r="BX135" s="405"/>
      <c r="BY135" s="405"/>
      <c r="BZ135" s="405"/>
      <c r="CA135" s="405"/>
      <c r="CB135" s="405"/>
      <c r="CC135" s="405"/>
      <c r="CD135" s="405"/>
      <c r="CE135" s="405"/>
      <c r="CF135" s="405"/>
      <c r="CG135" s="405"/>
      <c r="CH135" s="405"/>
      <c r="CI135" s="405"/>
      <c r="CJ135" s="405"/>
      <c r="CK135" s="405"/>
      <c r="CL135" s="405"/>
      <c r="CM135" s="405"/>
      <c r="CN135" s="405"/>
      <c r="CO135" s="405"/>
      <c r="CP135" s="405"/>
      <c r="CQ135" s="405"/>
      <c r="CR135" s="405"/>
      <c r="CS135" s="405"/>
      <c r="CT135" s="405"/>
      <c r="CU135" s="405"/>
      <c r="CV135" s="405"/>
      <c r="CW135" s="405"/>
      <c r="CX135" s="405"/>
      <c r="CY135" s="405"/>
      <c r="CZ135" s="405"/>
      <c r="DA135" s="405"/>
      <c r="DB135" s="405"/>
      <c r="DC135" s="405"/>
      <c r="DD135" s="405"/>
      <c r="DE135" s="405"/>
      <c r="DF135" s="405"/>
      <c r="DG135" s="405"/>
      <c r="DH135" s="405"/>
      <c r="DI135" s="405"/>
      <c r="DJ135" s="405"/>
      <c r="DK135" s="405"/>
      <c r="DL135" s="405"/>
      <c r="DM135" s="405"/>
      <c r="DN135" s="405"/>
      <c r="DO135" s="405"/>
      <c r="DP135" s="405"/>
      <c r="DQ135" s="405"/>
      <c r="DR135" s="405"/>
      <c r="DS135" s="405"/>
      <c r="DT135" s="405"/>
      <c r="DU135" s="405"/>
      <c r="DV135" s="405"/>
      <c r="DW135" s="405"/>
      <c r="DX135" s="405"/>
      <c r="DY135" s="405"/>
      <c r="DZ135" s="405"/>
      <c r="EA135" s="405"/>
      <c r="EB135" s="405"/>
      <c r="EC135" s="405"/>
      <c r="ED135" s="405"/>
      <c r="EE135" s="405"/>
      <c r="EF135" s="405"/>
      <c r="EG135" s="405"/>
      <c r="EH135" s="405"/>
      <c r="EI135" s="405"/>
      <c r="EJ135" s="405"/>
      <c r="EK135" s="405"/>
      <c r="EL135" s="405"/>
      <c r="EM135" s="405"/>
      <c r="EN135" s="405"/>
    </row>
    <row r="136" spans="2:144" ht="15" customHeight="1" outlineLevel="1">
      <c r="B136" s="458"/>
      <c r="C136" s="458"/>
      <c r="D136" s="458"/>
      <c r="E136" s="458"/>
      <c r="F136" s="458"/>
      <c r="G136" s="88"/>
      <c r="H136" s="77"/>
      <c r="J136" s="403"/>
      <c r="U136" s="405"/>
      <c r="V136" s="405"/>
      <c r="W136" s="405"/>
      <c r="X136" s="405"/>
      <c r="Y136" s="405"/>
      <c r="Z136" s="405"/>
      <c r="AA136" s="405"/>
      <c r="AB136" s="405"/>
      <c r="AC136" s="405"/>
      <c r="AD136" s="405"/>
      <c r="AE136" s="405"/>
      <c r="AF136" s="405"/>
      <c r="AG136" s="405"/>
      <c r="AH136" s="405"/>
      <c r="AI136" s="405"/>
      <c r="AJ136" s="405"/>
      <c r="AK136" s="405"/>
      <c r="AL136" s="405"/>
      <c r="AM136" s="405"/>
      <c r="AN136" s="405"/>
      <c r="AO136" s="405"/>
      <c r="AP136" s="405"/>
      <c r="AQ136" s="405"/>
      <c r="AR136" s="405"/>
      <c r="AS136" s="405"/>
      <c r="AT136" s="405"/>
      <c r="AU136" s="405"/>
      <c r="AV136" s="405"/>
      <c r="AW136" s="405"/>
      <c r="AX136" s="405"/>
      <c r="AY136" s="405"/>
      <c r="AZ136" s="405"/>
      <c r="BA136" s="405"/>
      <c r="BB136" s="405"/>
      <c r="BC136" s="405"/>
      <c r="BD136" s="405"/>
      <c r="BE136" s="405"/>
      <c r="BF136" s="405"/>
      <c r="BG136" s="405"/>
      <c r="BH136" s="405"/>
      <c r="BI136" s="405"/>
      <c r="BJ136" s="405"/>
      <c r="BK136" s="405"/>
      <c r="BL136" s="405"/>
      <c r="BM136" s="405"/>
      <c r="BN136" s="405"/>
      <c r="BO136" s="405"/>
      <c r="BP136" s="405"/>
      <c r="BQ136" s="405"/>
      <c r="BR136" s="405"/>
      <c r="BS136" s="405"/>
      <c r="BT136" s="405"/>
      <c r="BU136" s="405"/>
      <c r="BV136" s="405"/>
      <c r="BW136" s="405"/>
      <c r="BX136" s="405"/>
      <c r="BY136" s="405"/>
      <c r="BZ136" s="405"/>
      <c r="CA136" s="405"/>
      <c r="CB136" s="405"/>
      <c r="CC136" s="405"/>
      <c r="CD136" s="405"/>
      <c r="CE136" s="405"/>
      <c r="CF136" s="405"/>
      <c r="CG136" s="405"/>
      <c r="CH136" s="405"/>
      <c r="CI136" s="405"/>
      <c r="CJ136" s="405"/>
      <c r="CK136" s="405"/>
      <c r="CL136" s="405"/>
      <c r="CM136" s="405"/>
      <c r="CN136" s="405"/>
      <c r="CO136" s="405"/>
      <c r="CP136" s="405"/>
      <c r="CQ136" s="405"/>
      <c r="CR136" s="405"/>
      <c r="CS136" s="405"/>
      <c r="CT136" s="405"/>
      <c r="CU136" s="405"/>
      <c r="CV136" s="405"/>
      <c r="CW136" s="405"/>
      <c r="CX136" s="405"/>
      <c r="CY136" s="405"/>
      <c r="CZ136" s="405"/>
      <c r="DA136" s="405"/>
      <c r="DB136" s="405"/>
      <c r="DC136" s="405"/>
      <c r="DD136" s="405"/>
      <c r="DE136" s="405"/>
      <c r="DF136" s="405"/>
      <c r="DG136" s="405"/>
      <c r="DH136" s="405"/>
      <c r="DI136" s="405"/>
      <c r="DJ136" s="405"/>
      <c r="DK136" s="405"/>
      <c r="DL136" s="405"/>
      <c r="DM136" s="405"/>
      <c r="DN136" s="405"/>
      <c r="DO136" s="405"/>
      <c r="DP136" s="405"/>
      <c r="DQ136" s="405"/>
      <c r="DR136" s="405"/>
      <c r="DS136" s="405"/>
      <c r="DT136" s="405"/>
      <c r="DU136" s="405"/>
      <c r="DV136" s="405"/>
      <c r="DW136" s="405"/>
      <c r="DX136" s="405"/>
      <c r="DY136" s="405"/>
      <c r="DZ136" s="405"/>
      <c r="EA136" s="405"/>
      <c r="EB136" s="405"/>
      <c r="EC136" s="405"/>
      <c r="ED136" s="405"/>
      <c r="EE136" s="405"/>
      <c r="EF136" s="405"/>
      <c r="EG136" s="405"/>
      <c r="EH136" s="405"/>
      <c r="EI136" s="405"/>
      <c r="EJ136" s="405"/>
      <c r="EK136" s="405"/>
      <c r="EL136" s="405"/>
      <c r="EM136" s="405"/>
      <c r="EN136" s="405"/>
    </row>
    <row r="137" spans="2:144" ht="15" customHeight="1" outlineLevel="1">
      <c r="B137" s="411" t="str">
        <f>B75</f>
        <v>Water consumption per year</v>
      </c>
      <c r="C137" s="411"/>
      <c r="D137" s="411"/>
      <c r="E137" s="411"/>
      <c r="F137" s="258">
        <v>0</v>
      </c>
      <c r="G137" s="411" t="str">
        <f>G75</f>
        <v>[m³]</v>
      </c>
      <c r="H137" s="411"/>
      <c r="J137" s="403"/>
      <c r="U137" s="405"/>
      <c r="V137" s="405"/>
      <c r="W137" s="405"/>
      <c r="X137" s="405"/>
      <c r="Y137" s="405"/>
      <c r="Z137" s="405"/>
      <c r="AA137" s="405"/>
      <c r="AB137" s="405"/>
      <c r="AC137" s="405"/>
      <c r="AD137" s="405"/>
      <c r="AE137" s="405"/>
      <c r="AF137" s="405"/>
      <c r="AG137" s="405"/>
      <c r="AH137" s="405"/>
      <c r="AI137" s="405"/>
      <c r="AJ137" s="405"/>
      <c r="AK137" s="405"/>
      <c r="AL137" s="405"/>
      <c r="AM137" s="405"/>
      <c r="AN137" s="405"/>
      <c r="AO137" s="405"/>
      <c r="AP137" s="405"/>
      <c r="AQ137" s="405"/>
      <c r="AR137" s="405"/>
      <c r="AS137" s="405"/>
      <c r="AT137" s="405"/>
      <c r="AU137" s="405"/>
      <c r="AV137" s="405"/>
      <c r="AW137" s="405"/>
      <c r="AX137" s="405"/>
      <c r="AY137" s="405"/>
      <c r="AZ137" s="405"/>
      <c r="BA137" s="405"/>
      <c r="BB137" s="405"/>
      <c r="BC137" s="405"/>
      <c r="BD137" s="405"/>
      <c r="BE137" s="405"/>
      <c r="BF137" s="405"/>
      <c r="BG137" s="405"/>
      <c r="BH137" s="405"/>
      <c r="BI137" s="405"/>
      <c r="BJ137" s="405"/>
      <c r="BK137" s="405"/>
      <c r="BL137" s="405"/>
      <c r="BM137" s="405"/>
      <c r="BN137" s="405"/>
      <c r="BO137" s="405"/>
      <c r="BP137" s="405"/>
      <c r="BQ137" s="405"/>
      <c r="BR137" s="405"/>
      <c r="BS137" s="405"/>
      <c r="BT137" s="405"/>
      <c r="BU137" s="405"/>
      <c r="BV137" s="405"/>
      <c r="BW137" s="405"/>
      <c r="BX137" s="405"/>
      <c r="BY137" s="405"/>
      <c r="BZ137" s="405"/>
      <c r="CA137" s="405"/>
      <c r="CB137" s="405"/>
      <c r="CC137" s="405"/>
      <c r="CD137" s="405"/>
      <c r="CE137" s="405"/>
      <c r="CF137" s="405"/>
      <c r="CG137" s="405"/>
      <c r="CH137" s="405"/>
      <c r="CI137" s="405"/>
      <c r="CJ137" s="405"/>
      <c r="CK137" s="405"/>
      <c r="CL137" s="405"/>
      <c r="CM137" s="405"/>
      <c r="CN137" s="405"/>
      <c r="CO137" s="405"/>
      <c r="CP137" s="405"/>
      <c r="CQ137" s="405"/>
      <c r="CR137" s="405"/>
      <c r="CS137" s="405"/>
      <c r="CT137" s="405"/>
      <c r="CU137" s="405"/>
      <c r="CV137" s="405"/>
      <c r="CW137" s="405"/>
      <c r="CX137" s="405"/>
      <c r="CY137" s="405"/>
      <c r="CZ137" s="405"/>
      <c r="DA137" s="405"/>
      <c r="DB137" s="405"/>
      <c r="DC137" s="405"/>
      <c r="DD137" s="405"/>
      <c r="DE137" s="405"/>
      <c r="DF137" s="405"/>
      <c r="DG137" s="405"/>
      <c r="DH137" s="405"/>
      <c r="DI137" s="405"/>
      <c r="DJ137" s="405"/>
      <c r="DK137" s="405"/>
      <c r="DL137" s="405"/>
      <c r="DM137" s="405"/>
      <c r="DN137" s="405"/>
      <c r="DO137" s="405"/>
      <c r="DP137" s="405"/>
      <c r="DQ137" s="405"/>
      <c r="DR137" s="405"/>
      <c r="DS137" s="405"/>
      <c r="DT137" s="405"/>
      <c r="DU137" s="405"/>
      <c r="DV137" s="405"/>
      <c r="DW137" s="405"/>
      <c r="DX137" s="405"/>
      <c r="DY137" s="405"/>
      <c r="DZ137" s="405"/>
      <c r="EA137" s="405"/>
      <c r="EB137" s="405"/>
      <c r="EC137" s="405"/>
      <c r="ED137" s="405"/>
      <c r="EE137" s="405"/>
      <c r="EF137" s="405"/>
      <c r="EG137" s="405"/>
      <c r="EH137" s="405"/>
      <c r="EI137" s="405"/>
      <c r="EJ137" s="405"/>
      <c r="EK137" s="405"/>
      <c r="EL137" s="405"/>
      <c r="EM137" s="405"/>
      <c r="EN137" s="405"/>
    </row>
    <row r="138" spans="2:144" ht="15" customHeight="1" outlineLevel="1">
      <c r="B138" s="467"/>
      <c r="C138" s="404"/>
      <c r="D138" s="404"/>
      <c r="E138" s="404"/>
      <c r="F138" s="413"/>
      <c r="G138" s="413"/>
      <c r="H138" s="403"/>
      <c r="J138" s="403"/>
      <c r="U138" s="405"/>
      <c r="V138" s="405"/>
      <c r="W138" s="405"/>
      <c r="X138" s="405"/>
      <c r="Y138" s="405"/>
      <c r="Z138" s="405"/>
      <c r="AA138" s="405"/>
      <c r="AB138" s="405"/>
      <c r="AC138" s="405"/>
      <c r="AD138" s="405"/>
      <c r="AE138" s="405"/>
      <c r="AF138" s="405"/>
      <c r="AG138" s="405"/>
      <c r="AH138" s="405"/>
      <c r="AI138" s="405"/>
      <c r="AJ138" s="405"/>
      <c r="AK138" s="405"/>
      <c r="AL138" s="405"/>
      <c r="AM138" s="405"/>
      <c r="AN138" s="405"/>
      <c r="AO138" s="405"/>
      <c r="AP138" s="405"/>
      <c r="AQ138" s="405"/>
      <c r="AR138" s="405"/>
      <c r="AS138" s="405"/>
      <c r="AT138" s="405"/>
      <c r="AU138" s="405"/>
      <c r="AV138" s="405"/>
      <c r="AW138" s="405"/>
      <c r="AX138" s="405"/>
      <c r="AY138" s="405"/>
      <c r="AZ138" s="405"/>
      <c r="BA138" s="405"/>
      <c r="BB138" s="405"/>
      <c r="BC138" s="405"/>
      <c r="BD138" s="405"/>
      <c r="BE138" s="405"/>
      <c r="BF138" s="405"/>
      <c r="BG138" s="405"/>
      <c r="BH138" s="405"/>
      <c r="BI138" s="405"/>
      <c r="BJ138" s="405"/>
      <c r="BK138" s="405"/>
      <c r="BL138" s="405"/>
      <c r="BM138" s="405"/>
      <c r="BN138" s="405"/>
      <c r="BO138" s="405"/>
      <c r="BP138" s="405"/>
      <c r="BQ138" s="405"/>
      <c r="BR138" s="405"/>
      <c r="BS138" s="405"/>
      <c r="BT138" s="405"/>
      <c r="BU138" s="405"/>
      <c r="BV138" s="405"/>
      <c r="BW138" s="405"/>
      <c r="BX138" s="405"/>
      <c r="BY138" s="405"/>
      <c r="BZ138" s="405"/>
      <c r="CA138" s="405"/>
      <c r="CB138" s="405"/>
      <c r="CC138" s="405"/>
      <c r="CD138" s="405"/>
      <c r="CE138" s="405"/>
      <c r="CF138" s="405"/>
      <c r="CG138" s="405"/>
      <c r="CH138" s="405"/>
      <c r="CI138" s="405"/>
      <c r="CJ138" s="405"/>
      <c r="CK138" s="405"/>
      <c r="CL138" s="405"/>
      <c r="CM138" s="405"/>
      <c r="CN138" s="405"/>
      <c r="CO138" s="405"/>
      <c r="CP138" s="405"/>
      <c r="CQ138" s="405"/>
      <c r="CR138" s="405"/>
      <c r="CS138" s="405"/>
      <c r="CT138" s="405"/>
      <c r="CU138" s="405"/>
      <c r="CV138" s="405"/>
      <c r="CW138" s="405"/>
      <c r="CX138" s="405"/>
      <c r="CY138" s="405"/>
      <c r="CZ138" s="405"/>
      <c r="DA138" s="405"/>
      <c r="DB138" s="405"/>
      <c r="DC138" s="405"/>
      <c r="DD138" s="405"/>
      <c r="DE138" s="405"/>
      <c r="DF138" s="405"/>
      <c r="DG138" s="405"/>
      <c r="DH138" s="405"/>
      <c r="DI138" s="405"/>
      <c r="DJ138" s="405"/>
      <c r="DK138" s="405"/>
      <c r="DL138" s="405"/>
      <c r="DM138" s="405"/>
      <c r="DN138" s="405"/>
      <c r="DO138" s="405"/>
      <c r="DP138" s="405"/>
      <c r="DQ138" s="405"/>
      <c r="DR138" s="405"/>
      <c r="DS138" s="405"/>
      <c r="DT138" s="405"/>
      <c r="DU138" s="405"/>
      <c r="DV138" s="405"/>
      <c r="DW138" s="405"/>
      <c r="DX138" s="405"/>
      <c r="DY138" s="405"/>
      <c r="DZ138" s="405"/>
      <c r="EA138" s="405"/>
      <c r="EB138" s="405"/>
      <c r="EC138" s="405"/>
      <c r="ED138" s="405"/>
      <c r="EE138" s="405"/>
      <c r="EF138" s="405"/>
      <c r="EG138" s="405"/>
      <c r="EH138" s="405"/>
      <c r="EI138" s="405"/>
      <c r="EJ138" s="405"/>
      <c r="EK138" s="405"/>
      <c r="EL138" s="405"/>
      <c r="EM138" s="405"/>
      <c r="EN138" s="405"/>
    </row>
    <row r="139" spans="2:144">
      <c r="B139" s="473" t="str">
        <f>VLOOKUP("Input_3b_Header",Hidden_Translations!$B$11:$J$1184,Hidden_Translations!$C$8,FALSE)</f>
        <v>#3b: Storage at docks/airport at origin</v>
      </c>
      <c r="C139" s="459" t="str">
        <f>C119</f>
        <v>(only for global supply chains)</v>
      </c>
      <c r="D139" s="459"/>
      <c r="E139" s="459"/>
      <c r="F139" s="459"/>
      <c r="G139" s="459"/>
      <c r="H139" s="459"/>
      <c r="J139" s="403"/>
      <c r="U139" s="405"/>
      <c r="V139" s="405"/>
      <c r="W139" s="405"/>
      <c r="X139" s="405"/>
      <c r="Y139" s="405"/>
      <c r="Z139" s="405"/>
      <c r="AA139" s="405"/>
      <c r="AB139" s="405"/>
      <c r="AC139" s="405"/>
      <c r="AD139" s="405"/>
      <c r="AE139" s="405"/>
      <c r="AF139" s="405"/>
      <c r="AG139" s="405"/>
      <c r="AH139" s="405"/>
      <c r="AI139" s="405"/>
      <c r="AJ139" s="405"/>
      <c r="AK139" s="405"/>
      <c r="AL139" s="405"/>
      <c r="AM139" s="405"/>
      <c r="AN139" s="405"/>
      <c r="AO139" s="405"/>
      <c r="AP139" s="405"/>
      <c r="AQ139" s="405"/>
      <c r="AR139" s="405"/>
      <c r="AS139" s="405"/>
      <c r="AT139" s="405"/>
      <c r="AU139" s="405"/>
      <c r="AV139" s="405"/>
      <c r="AW139" s="405"/>
      <c r="AX139" s="405"/>
      <c r="AY139" s="405"/>
      <c r="AZ139" s="405"/>
      <c r="BA139" s="405"/>
      <c r="BB139" s="405"/>
      <c r="BC139" s="405"/>
      <c r="BD139" s="405"/>
      <c r="BE139" s="405"/>
      <c r="BF139" s="405"/>
      <c r="BG139" s="405"/>
      <c r="BH139" s="405"/>
      <c r="BI139" s="405"/>
      <c r="BJ139" s="405"/>
      <c r="BK139" s="405"/>
      <c r="BL139" s="405"/>
      <c r="BM139" s="405"/>
      <c r="BN139" s="405"/>
      <c r="BO139" s="405"/>
      <c r="BP139" s="405"/>
      <c r="BQ139" s="405"/>
      <c r="BR139" s="405"/>
      <c r="BS139" s="405"/>
      <c r="BT139" s="405"/>
      <c r="BU139" s="405"/>
      <c r="BV139" s="405"/>
      <c r="BW139" s="405"/>
      <c r="BX139" s="405"/>
      <c r="BY139" s="405"/>
      <c r="BZ139" s="405"/>
      <c r="CA139" s="405"/>
      <c r="CB139" s="405"/>
      <c r="CC139" s="405"/>
      <c r="CD139" s="405"/>
      <c r="CE139" s="405"/>
      <c r="CF139" s="405"/>
      <c r="CG139" s="405"/>
      <c r="CH139" s="405"/>
      <c r="CI139" s="405"/>
      <c r="CJ139" s="405"/>
      <c r="CK139" s="405"/>
      <c r="CL139" s="405"/>
      <c r="CM139" s="405"/>
      <c r="CN139" s="405"/>
      <c r="CO139" s="405"/>
      <c r="CP139" s="405"/>
      <c r="CQ139" s="405"/>
      <c r="CR139" s="405"/>
      <c r="CS139" s="405"/>
      <c r="CT139" s="405"/>
      <c r="CU139" s="405"/>
      <c r="CV139" s="405"/>
      <c r="CW139" s="405"/>
      <c r="CX139" s="405"/>
      <c r="CY139" s="405"/>
      <c r="CZ139" s="405"/>
      <c r="DA139" s="405"/>
      <c r="DB139" s="405"/>
      <c r="DC139" s="405"/>
      <c r="DD139" s="405"/>
      <c r="DE139" s="405"/>
      <c r="DF139" s="405"/>
      <c r="DG139" s="405"/>
      <c r="DH139" s="405"/>
      <c r="DI139" s="405"/>
      <c r="DJ139" s="405"/>
      <c r="DK139" s="405"/>
      <c r="DL139" s="405"/>
      <c r="DM139" s="405"/>
      <c r="DN139" s="405"/>
      <c r="DO139" s="405"/>
      <c r="DP139" s="405"/>
      <c r="DQ139" s="405"/>
      <c r="DR139" s="405"/>
      <c r="DS139" s="405"/>
      <c r="DT139" s="405"/>
      <c r="DU139" s="405"/>
      <c r="DV139" s="405"/>
      <c r="DW139" s="405"/>
      <c r="DX139" s="405"/>
      <c r="DY139" s="405"/>
      <c r="DZ139" s="405"/>
      <c r="EA139" s="405"/>
      <c r="EB139" s="405"/>
      <c r="EC139" s="405"/>
      <c r="ED139" s="405"/>
      <c r="EE139" s="405"/>
      <c r="EF139" s="405"/>
      <c r="EG139" s="405"/>
      <c r="EH139" s="405"/>
      <c r="EI139" s="405"/>
      <c r="EJ139" s="405"/>
      <c r="EK139" s="405"/>
      <c r="EL139" s="405"/>
      <c r="EM139" s="405"/>
      <c r="EN139" s="405"/>
    </row>
    <row r="140" spans="2:144" ht="15" customHeight="1">
      <c r="B140" s="85"/>
      <c r="H140" s="403"/>
      <c r="J140" s="403"/>
      <c r="U140" s="405"/>
      <c r="V140" s="405"/>
      <c r="W140" s="405"/>
      <c r="X140" s="405"/>
      <c r="Y140" s="405"/>
      <c r="Z140" s="405"/>
      <c r="AA140" s="405"/>
      <c r="AB140" s="405"/>
      <c r="AC140" s="405"/>
      <c r="AD140" s="405"/>
      <c r="AE140" s="405"/>
      <c r="AF140" s="405"/>
      <c r="AG140" s="405"/>
      <c r="AH140" s="405"/>
      <c r="AI140" s="405"/>
      <c r="AJ140" s="405"/>
      <c r="AK140" s="405"/>
      <c r="AL140" s="405"/>
      <c r="AM140" s="405"/>
      <c r="AN140" s="405"/>
      <c r="AO140" s="405"/>
      <c r="AP140" s="405"/>
      <c r="AQ140" s="405"/>
      <c r="AR140" s="405"/>
      <c r="AS140" s="405"/>
      <c r="AT140" s="405"/>
      <c r="AU140" s="405"/>
      <c r="AV140" s="405"/>
      <c r="AW140" s="405"/>
      <c r="AX140" s="405"/>
      <c r="AY140" s="405"/>
      <c r="AZ140" s="405"/>
      <c r="BA140" s="405"/>
      <c r="BB140" s="405"/>
      <c r="BC140" s="405"/>
      <c r="BD140" s="405"/>
      <c r="BE140" s="405"/>
      <c r="BF140" s="405"/>
      <c r="BG140" s="405"/>
      <c r="BH140" s="405"/>
      <c r="BI140" s="405"/>
      <c r="BJ140" s="405"/>
      <c r="BK140" s="405"/>
      <c r="BL140" s="405"/>
      <c r="BM140" s="405"/>
      <c r="BN140" s="405"/>
      <c r="BO140" s="405"/>
      <c r="BP140" s="405"/>
      <c r="BQ140" s="405"/>
      <c r="BR140" s="405"/>
      <c r="BS140" s="405"/>
      <c r="BT140" s="405"/>
      <c r="BU140" s="405"/>
      <c r="BV140" s="405"/>
      <c r="BW140" s="405"/>
      <c r="BX140" s="405"/>
      <c r="BY140" s="405"/>
      <c r="BZ140" s="405"/>
      <c r="CA140" s="405"/>
      <c r="CB140" s="405"/>
      <c r="CC140" s="405"/>
      <c r="CD140" s="405"/>
      <c r="CE140" s="405"/>
      <c r="CF140" s="405"/>
      <c r="CG140" s="405"/>
      <c r="CH140" s="405"/>
      <c r="CI140" s="405"/>
      <c r="CJ140" s="405"/>
      <c r="CK140" s="405"/>
      <c r="CL140" s="405"/>
      <c r="CM140" s="405"/>
      <c r="CN140" s="405"/>
      <c r="CO140" s="405"/>
      <c r="CP140" s="405"/>
      <c r="CQ140" s="405"/>
      <c r="CR140" s="405"/>
      <c r="CS140" s="405"/>
      <c r="CT140" s="405"/>
      <c r="CU140" s="405"/>
      <c r="CV140" s="405"/>
      <c r="CW140" s="405"/>
      <c r="CX140" s="405"/>
      <c r="CY140" s="405"/>
      <c r="CZ140" s="405"/>
      <c r="DA140" s="405"/>
      <c r="DB140" s="405"/>
      <c r="DC140" s="405"/>
      <c r="DD140" s="405"/>
      <c r="DE140" s="405"/>
      <c r="DF140" s="405"/>
      <c r="DG140" s="405"/>
      <c r="DH140" s="405"/>
      <c r="DI140" s="405"/>
      <c r="DJ140" s="405"/>
      <c r="DK140" s="405"/>
      <c r="DL140" s="405"/>
      <c r="DM140" s="405"/>
      <c r="DN140" s="405"/>
      <c r="DO140" s="405"/>
      <c r="DP140" s="405"/>
      <c r="DQ140" s="405"/>
      <c r="DR140" s="405"/>
      <c r="DS140" s="405"/>
      <c r="DT140" s="405"/>
      <c r="DU140" s="405"/>
      <c r="DV140" s="405"/>
      <c r="DW140" s="405"/>
      <c r="DX140" s="405"/>
      <c r="DY140" s="405"/>
      <c r="DZ140" s="405"/>
      <c r="EA140" s="405"/>
      <c r="EB140" s="405"/>
      <c r="EC140" s="405"/>
      <c r="ED140" s="405"/>
      <c r="EE140" s="405"/>
      <c r="EF140" s="405"/>
      <c r="EG140" s="405"/>
      <c r="EH140" s="405"/>
      <c r="EI140" s="405"/>
      <c r="EJ140" s="405"/>
      <c r="EK140" s="405"/>
      <c r="EL140" s="405"/>
      <c r="EM140" s="405"/>
      <c r="EN140" s="405"/>
    </row>
    <row r="141" spans="2:144" ht="15" customHeight="1" outlineLevel="1">
      <c r="B141" s="471" t="str">
        <f>VLOOKUP("Input_3b_Header_Text",Hidden_Translations!$B$11:$J$1184,Hidden_Translations!$C$8,FALSE)</f>
        <v xml:space="preserve">This step for global supply chains only adresses storage before long distance transport. </v>
      </c>
      <c r="H141" s="403"/>
      <c r="J141" s="403"/>
      <c r="U141" s="405"/>
      <c r="V141" s="405"/>
      <c r="W141" s="405"/>
      <c r="X141" s="405"/>
      <c r="Y141" s="405"/>
      <c r="Z141" s="405"/>
      <c r="AA141" s="405"/>
      <c r="AB141" s="405"/>
      <c r="AC141" s="405"/>
      <c r="AD141" s="405"/>
      <c r="AE141" s="405"/>
      <c r="AF141" s="405"/>
      <c r="AG141" s="405"/>
      <c r="AH141" s="405"/>
      <c r="AI141" s="405"/>
      <c r="AJ141" s="405"/>
      <c r="AK141" s="405"/>
      <c r="AL141" s="405"/>
      <c r="AM141" s="405"/>
      <c r="AN141" s="405"/>
      <c r="AO141" s="405"/>
      <c r="AP141" s="405"/>
      <c r="AQ141" s="405"/>
      <c r="AR141" s="405"/>
      <c r="AS141" s="405"/>
      <c r="AT141" s="405"/>
      <c r="AU141" s="405"/>
      <c r="AV141" s="405"/>
      <c r="AW141" s="405"/>
      <c r="AX141" s="405"/>
      <c r="AY141" s="405"/>
      <c r="AZ141" s="405"/>
      <c r="BA141" s="405"/>
      <c r="BB141" s="405"/>
      <c r="BC141" s="405"/>
      <c r="BD141" s="405"/>
      <c r="BE141" s="405"/>
      <c r="BF141" s="405"/>
      <c r="BG141" s="405"/>
      <c r="BH141" s="405"/>
      <c r="BI141" s="405"/>
      <c r="BJ141" s="405"/>
      <c r="BK141" s="405"/>
      <c r="BL141" s="405"/>
      <c r="BM141" s="405"/>
      <c r="BN141" s="405"/>
      <c r="BO141" s="405"/>
      <c r="BP141" s="405"/>
      <c r="BQ141" s="405"/>
      <c r="BR141" s="405"/>
      <c r="BS141" s="405"/>
      <c r="BT141" s="405"/>
      <c r="BU141" s="405"/>
      <c r="BV141" s="405"/>
      <c r="BW141" s="405"/>
      <c r="BX141" s="405"/>
      <c r="BY141" s="405"/>
      <c r="BZ141" s="405"/>
      <c r="CA141" s="405"/>
      <c r="CB141" s="405"/>
      <c r="CC141" s="405"/>
      <c r="CD141" s="405"/>
      <c r="CE141" s="405"/>
      <c r="CF141" s="405"/>
      <c r="CG141" s="405"/>
      <c r="CH141" s="405"/>
      <c r="CI141" s="405"/>
      <c r="CJ141" s="405"/>
      <c r="CK141" s="405"/>
      <c r="CL141" s="405"/>
      <c r="CM141" s="405"/>
      <c r="CN141" s="405"/>
      <c r="CO141" s="405"/>
      <c r="CP141" s="405"/>
      <c r="CQ141" s="405"/>
      <c r="CR141" s="405"/>
      <c r="CS141" s="405"/>
      <c r="CT141" s="405"/>
      <c r="CU141" s="405"/>
      <c r="CV141" s="405"/>
      <c r="CW141" s="405"/>
      <c r="CX141" s="405"/>
      <c r="CY141" s="405"/>
      <c r="CZ141" s="405"/>
      <c r="DA141" s="405"/>
      <c r="DB141" s="405"/>
      <c r="DC141" s="405"/>
      <c r="DD141" s="405"/>
      <c r="DE141" s="405"/>
      <c r="DF141" s="405"/>
      <c r="DG141" s="405"/>
      <c r="DH141" s="405"/>
      <c r="DI141" s="405"/>
      <c r="DJ141" s="405"/>
      <c r="DK141" s="405"/>
      <c r="DL141" s="405"/>
      <c r="DM141" s="405"/>
      <c r="DN141" s="405"/>
      <c r="DO141" s="405"/>
      <c r="DP141" s="405"/>
      <c r="DQ141" s="405"/>
      <c r="DR141" s="405"/>
      <c r="DS141" s="405"/>
      <c r="DT141" s="405"/>
      <c r="DU141" s="405"/>
      <c r="DV141" s="405"/>
      <c r="DW141" s="405"/>
      <c r="DX141" s="405"/>
      <c r="DY141" s="405"/>
      <c r="DZ141" s="405"/>
      <c r="EA141" s="405"/>
      <c r="EB141" s="405"/>
      <c r="EC141" s="405"/>
      <c r="ED141" s="405"/>
      <c r="EE141" s="405"/>
      <c r="EF141" s="405"/>
      <c r="EG141" s="405"/>
      <c r="EH141" s="405"/>
      <c r="EI141" s="405"/>
      <c r="EJ141" s="405"/>
      <c r="EK141" s="405"/>
      <c r="EL141" s="405"/>
      <c r="EM141" s="405"/>
      <c r="EN141" s="405"/>
    </row>
    <row r="142" spans="2:144" ht="15" customHeight="1" outlineLevel="1">
      <c r="B142" s="85"/>
      <c r="H142" s="403"/>
      <c r="J142" s="403"/>
      <c r="U142" s="405"/>
      <c r="V142" s="405"/>
      <c r="W142" s="405"/>
      <c r="X142" s="405"/>
      <c r="Y142" s="405"/>
      <c r="Z142" s="405"/>
      <c r="AA142" s="405"/>
      <c r="AB142" s="405"/>
      <c r="AC142" s="405"/>
      <c r="AD142" s="405"/>
      <c r="AE142" s="405"/>
      <c r="AF142" s="405"/>
      <c r="AG142" s="405"/>
      <c r="AH142" s="405"/>
      <c r="AI142" s="405"/>
      <c r="AJ142" s="405"/>
      <c r="AK142" s="405"/>
      <c r="AL142" s="405"/>
      <c r="AM142" s="405"/>
      <c r="AN142" s="405"/>
      <c r="AO142" s="405"/>
      <c r="AP142" s="405"/>
      <c r="AQ142" s="405"/>
      <c r="AR142" s="405"/>
      <c r="AS142" s="405"/>
      <c r="AT142" s="405"/>
      <c r="AU142" s="405"/>
      <c r="AV142" s="405"/>
      <c r="AW142" s="405"/>
      <c r="AX142" s="405"/>
      <c r="AY142" s="405"/>
      <c r="AZ142" s="405"/>
      <c r="BA142" s="405"/>
      <c r="BB142" s="405"/>
      <c r="BC142" s="405"/>
      <c r="BD142" s="405"/>
      <c r="BE142" s="405"/>
      <c r="BF142" s="405"/>
      <c r="BG142" s="405"/>
      <c r="BH142" s="405"/>
      <c r="BI142" s="405"/>
      <c r="BJ142" s="405"/>
      <c r="BK142" s="405"/>
      <c r="BL142" s="405"/>
      <c r="BM142" s="405"/>
      <c r="BN142" s="405"/>
      <c r="BO142" s="405"/>
      <c r="BP142" s="405"/>
      <c r="BQ142" s="405"/>
      <c r="BR142" s="405"/>
      <c r="BS142" s="405"/>
      <c r="BT142" s="405"/>
      <c r="BU142" s="405"/>
      <c r="BV142" s="405"/>
      <c r="BW142" s="405"/>
      <c r="BX142" s="405"/>
      <c r="BY142" s="405"/>
      <c r="BZ142" s="405"/>
      <c r="CA142" s="405"/>
      <c r="CB142" s="405"/>
      <c r="CC142" s="405"/>
      <c r="CD142" s="405"/>
      <c r="CE142" s="405"/>
      <c r="CF142" s="405"/>
      <c r="CG142" s="405"/>
      <c r="CH142" s="405"/>
      <c r="CI142" s="405"/>
      <c r="CJ142" s="405"/>
      <c r="CK142" s="405"/>
      <c r="CL142" s="405"/>
      <c r="CM142" s="405"/>
      <c r="CN142" s="405"/>
      <c r="CO142" s="405"/>
      <c r="CP142" s="405"/>
      <c r="CQ142" s="405"/>
      <c r="CR142" s="405"/>
      <c r="CS142" s="405"/>
      <c r="CT142" s="405"/>
      <c r="CU142" s="405"/>
      <c r="CV142" s="405"/>
      <c r="CW142" s="405"/>
      <c r="CX142" s="405"/>
      <c r="CY142" s="405"/>
      <c r="CZ142" s="405"/>
      <c r="DA142" s="405"/>
      <c r="DB142" s="405"/>
      <c r="DC142" s="405"/>
      <c r="DD142" s="405"/>
      <c r="DE142" s="405"/>
      <c r="DF142" s="405"/>
      <c r="DG142" s="405"/>
      <c r="DH142" s="405"/>
      <c r="DI142" s="405"/>
      <c r="DJ142" s="405"/>
      <c r="DK142" s="405"/>
      <c r="DL142" s="405"/>
      <c r="DM142" s="405"/>
      <c r="DN142" s="405"/>
      <c r="DO142" s="405"/>
      <c r="DP142" s="405"/>
      <c r="DQ142" s="405"/>
      <c r="DR142" s="405"/>
      <c r="DS142" s="405"/>
      <c r="DT142" s="405"/>
      <c r="DU142" s="405"/>
      <c r="DV142" s="405"/>
      <c r="DW142" s="405"/>
      <c r="DX142" s="405"/>
      <c r="DY142" s="405"/>
      <c r="DZ142" s="405"/>
      <c r="EA142" s="405"/>
      <c r="EB142" s="405"/>
      <c r="EC142" s="405"/>
      <c r="ED142" s="405"/>
      <c r="EE142" s="405"/>
      <c r="EF142" s="405"/>
      <c r="EG142" s="405"/>
      <c r="EH142" s="405"/>
      <c r="EI142" s="405"/>
      <c r="EJ142" s="405"/>
      <c r="EK142" s="405"/>
      <c r="EL142" s="405"/>
      <c r="EM142" s="405"/>
      <c r="EN142" s="405"/>
    </row>
    <row r="143" spans="2:144" ht="15" customHeight="1" outlineLevel="1">
      <c r="B143" s="411" t="str">
        <f>B96</f>
        <v>Storage time of a batch at the warehouse</v>
      </c>
      <c r="C143" s="411"/>
      <c r="D143" s="411"/>
      <c r="E143" s="411"/>
      <c r="F143" s="258">
        <v>0</v>
      </c>
      <c r="G143" s="411" t="str">
        <f>G96</f>
        <v>[d]</v>
      </c>
      <c r="H143" s="411"/>
      <c r="J143" s="403"/>
      <c r="U143" s="405"/>
      <c r="V143" s="405"/>
      <c r="W143" s="405"/>
      <c r="X143" s="405"/>
      <c r="Y143" s="405"/>
      <c r="Z143" s="405"/>
      <c r="AA143" s="405"/>
      <c r="AB143" s="405"/>
      <c r="AC143" s="405"/>
      <c r="AD143" s="405"/>
      <c r="AE143" s="405"/>
      <c r="AF143" s="405"/>
      <c r="AG143" s="405"/>
      <c r="AH143" s="405"/>
      <c r="AI143" s="405"/>
      <c r="AJ143" s="405"/>
      <c r="AK143" s="405"/>
      <c r="AL143" s="405"/>
      <c r="AM143" s="405"/>
      <c r="AN143" s="405"/>
      <c r="AO143" s="405"/>
      <c r="AP143" s="405"/>
      <c r="AQ143" s="405"/>
      <c r="AR143" s="405"/>
      <c r="AS143" s="405"/>
      <c r="AT143" s="405"/>
      <c r="AU143" s="405"/>
      <c r="AV143" s="405"/>
      <c r="AW143" s="405"/>
      <c r="AX143" s="405"/>
      <c r="AY143" s="405"/>
      <c r="AZ143" s="405"/>
      <c r="BA143" s="405"/>
      <c r="BB143" s="405"/>
      <c r="BC143" s="405"/>
      <c r="BD143" s="405"/>
      <c r="BE143" s="405"/>
      <c r="BF143" s="405"/>
      <c r="BG143" s="405"/>
      <c r="BH143" s="405"/>
      <c r="BI143" s="405"/>
      <c r="BJ143" s="405"/>
      <c r="BK143" s="405"/>
      <c r="BL143" s="405"/>
      <c r="BM143" s="405"/>
      <c r="BN143" s="405"/>
      <c r="BO143" s="405"/>
      <c r="BP143" s="405"/>
      <c r="BQ143" s="405"/>
      <c r="BR143" s="405"/>
      <c r="BS143" s="405"/>
      <c r="BT143" s="405"/>
      <c r="BU143" s="405"/>
      <c r="BV143" s="405"/>
      <c r="BW143" s="405"/>
      <c r="BX143" s="405"/>
      <c r="BY143" s="405"/>
      <c r="BZ143" s="405"/>
      <c r="CA143" s="405"/>
      <c r="CB143" s="405"/>
      <c r="CC143" s="405"/>
      <c r="CD143" s="405"/>
      <c r="CE143" s="405"/>
      <c r="CF143" s="405"/>
      <c r="CG143" s="405"/>
      <c r="CH143" s="405"/>
      <c r="CI143" s="405"/>
      <c r="CJ143" s="405"/>
      <c r="CK143" s="405"/>
      <c r="CL143" s="405"/>
      <c r="CM143" s="405"/>
      <c r="CN143" s="405"/>
      <c r="CO143" s="405"/>
      <c r="CP143" s="405"/>
      <c r="CQ143" s="405"/>
      <c r="CR143" s="405"/>
      <c r="CS143" s="405"/>
      <c r="CT143" s="405"/>
      <c r="CU143" s="405"/>
      <c r="CV143" s="405"/>
      <c r="CW143" s="405"/>
      <c r="CX143" s="405"/>
      <c r="CY143" s="405"/>
      <c r="CZ143" s="405"/>
      <c r="DA143" s="405"/>
      <c r="DB143" s="405"/>
      <c r="DC143" s="405"/>
      <c r="DD143" s="405"/>
      <c r="DE143" s="405"/>
      <c r="DF143" s="405"/>
      <c r="DG143" s="405"/>
      <c r="DH143" s="405"/>
      <c r="DI143" s="405"/>
      <c r="DJ143" s="405"/>
      <c r="DK143" s="405"/>
      <c r="DL143" s="405"/>
      <c r="DM143" s="405"/>
      <c r="DN143" s="405"/>
      <c r="DO143" s="405"/>
      <c r="DP143" s="405"/>
      <c r="DQ143" s="405"/>
      <c r="DR143" s="405"/>
      <c r="DS143" s="405"/>
      <c r="DT143" s="405"/>
      <c r="DU143" s="405"/>
      <c r="DV143" s="405"/>
      <c r="DW143" s="405"/>
      <c r="DX143" s="405"/>
      <c r="DY143" s="405"/>
      <c r="DZ143" s="405"/>
      <c r="EA143" s="405"/>
      <c r="EB143" s="405"/>
      <c r="EC143" s="405"/>
      <c r="ED143" s="405"/>
      <c r="EE143" s="405"/>
      <c r="EF143" s="405"/>
      <c r="EG143" s="405"/>
      <c r="EH143" s="405"/>
      <c r="EI143" s="405"/>
      <c r="EJ143" s="405"/>
      <c r="EK143" s="405"/>
      <c r="EL143" s="405"/>
      <c r="EM143" s="405"/>
      <c r="EN143" s="405"/>
    </row>
    <row r="144" spans="2:144" ht="15" customHeight="1" outlineLevel="1">
      <c r="B144" s="411" t="str">
        <f>B97</f>
        <v>Warehouse volume occupied by a batch</v>
      </c>
      <c r="C144" s="411"/>
      <c r="D144" s="411"/>
      <c r="E144" s="411"/>
      <c r="F144" s="259">
        <v>0</v>
      </c>
      <c r="G144" s="411" t="str">
        <f>G97</f>
        <v>[m³]</v>
      </c>
      <c r="H144" s="411"/>
      <c r="J144" s="403"/>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5"/>
      <c r="BO144" s="405"/>
      <c r="BP144" s="405"/>
      <c r="BQ144" s="405"/>
      <c r="BR144" s="405"/>
      <c r="BS144" s="405"/>
      <c r="BT144" s="405"/>
      <c r="BU144" s="405"/>
      <c r="BV144" s="405"/>
      <c r="BW144" s="405"/>
      <c r="BX144" s="405"/>
      <c r="BY144" s="405"/>
      <c r="BZ144" s="405"/>
      <c r="CA144" s="405"/>
      <c r="CB144" s="405"/>
      <c r="CC144" s="405"/>
      <c r="CD144" s="405"/>
      <c r="CE144" s="405"/>
      <c r="CF144" s="405"/>
      <c r="CG144" s="405"/>
      <c r="CH144" s="405"/>
      <c r="CI144" s="405"/>
      <c r="CJ144" s="405"/>
      <c r="CK144" s="405"/>
      <c r="CL144" s="405"/>
      <c r="CM144" s="405"/>
      <c r="CN144" s="405"/>
      <c r="CO144" s="405"/>
      <c r="CP144" s="405"/>
      <c r="CQ144" s="405"/>
      <c r="CR144" s="405"/>
      <c r="CS144" s="405"/>
      <c r="CT144" s="405"/>
      <c r="CU144" s="405"/>
      <c r="CV144" s="405"/>
      <c r="CW144" s="405"/>
      <c r="CX144" s="405"/>
      <c r="CY144" s="405"/>
      <c r="CZ144" s="405"/>
      <c r="DA144" s="405"/>
      <c r="DB144" s="405"/>
      <c r="DC144" s="405"/>
      <c r="DD144" s="405"/>
      <c r="DE144" s="405"/>
      <c r="DF144" s="405"/>
      <c r="DG144" s="405"/>
      <c r="DH144" s="405"/>
      <c r="DI144" s="405"/>
      <c r="DJ144" s="405"/>
      <c r="DK144" s="405"/>
      <c r="DL144" s="405"/>
      <c r="DM144" s="405"/>
      <c r="DN144" s="405"/>
      <c r="DO144" s="405"/>
      <c r="DP144" s="405"/>
      <c r="DQ144" s="405"/>
      <c r="DR144" s="405"/>
      <c r="DS144" s="405"/>
      <c r="DT144" s="405"/>
      <c r="DU144" s="405"/>
      <c r="DV144" s="405"/>
      <c r="DW144" s="405"/>
      <c r="DX144" s="405"/>
      <c r="DY144" s="405"/>
      <c r="DZ144" s="405"/>
      <c r="EA144" s="405"/>
      <c r="EB144" s="405"/>
      <c r="EC144" s="405"/>
      <c r="ED144" s="405"/>
      <c r="EE144" s="405"/>
      <c r="EF144" s="405"/>
      <c r="EG144" s="405"/>
      <c r="EH144" s="405"/>
      <c r="EI144" s="405"/>
      <c r="EJ144" s="405"/>
      <c r="EK144" s="405"/>
      <c r="EL144" s="405"/>
      <c r="EM144" s="405"/>
      <c r="EN144" s="405"/>
    </row>
    <row r="145" spans="2:144" ht="15" customHeight="1" outlineLevel="1">
      <c r="B145" s="411" t="str">
        <f>B98</f>
        <v>Total size of storage</v>
      </c>
      <c r="C145" s="411"/>
      <c r="D145" s="411"/>
      <c r="E145" s="411"/>
      <c r="F145" s="258">
        <v>0</v>
      </c>
      <c r="G145" s="411" t="str">
        <f>G98</f>
        <v>[m³]</v>
      </c>
      <c r="H145" s="411"/>
      <c r="J145" s="403"/>
      <c r="U145" s="405"/>
      <c r="V145" s="405"/>
      <c r="W145" s="405"/>
      <c r="X145" s="405"/>
      <c r="Y145" s="405"/>
      <c r="Z145" s="405"/>
      <c r="AA145" s="405"/>
      <c r="AB145" s="405"/>
      <c r="AC145" s="405"/>
      <c r="AD145" s="405"/>
      <c r="AE145" s="405"/>
      <c r="AF145" s="405"/>
      <c r="AG145" s="405"/>
      <c r="AH145" s="405"/>
      <c r="AI145" s="405"/>
      <c r="AJ145" s="405"/>
      <c r="AK145" s="405"/>
      <c r="AL145" s="405"/>
      <c r="AM145" s="405"/>
      <c r="AN145" s="405"/>
      <c r="AO145" s="405"/>
      <c r="AP145" s="405"/>
      <c r="AQ145" s="405"/>
      <c r="AR145" s="405"/>
      <c r="AS145" s="405"/>
      <c r="AT145" s="405"/>
      <c r="AU145" s="405"/>
      <c r="AV145" s="405"/>
      <c r="AW145" s="405"/>
      <c r="AX145" s="405"/>
      <c r="AY145" s="405"/>
      <c r="AZ145" s="405"/>
      <c r="BA145" s="405"/>
      <c r="BB145" s="405"/>
      <c r="BC145" s="405"/>
      <c r="BD145" s="405"/>
      <c r="BE145" s="405"/>
      <c r="BF145" s="405"/>
      <c r="BG145" s="405"/>
      <c r="BH145" s="405"/>
      <c r="BI145" s="405"/>
      <c r="BJ145" s="405"/>
      <c r="BK145" s="405"/>
      <c r="BL145" s="405"/>
      <c r="BM145" s="405"/>
      <c r="BN145" s="405"/>
      <c r="BO145" s="405"/>
      <c r="BP145" s="405"/>
      <c r="BQ145" s="405"/>
      <c r="BR145" s="405"/>
      <c r="BS145" s="405"/>
      <c r="BT145" s="405"/>
      <c r="BU145" s="405"/>
      <c r="BV145" s="405"/>
      <c r="BW145" s="405"/>
      <c r="BX145" s="405"/>
      <c r="BY145" s="405"/>
      <c r="BZ145" s="405"/>
      <c r="CA145" s="405"/>
      <c r="CB145" s="405"/>
      <c r="CC145" s="405"/>
      <c r="CD145" s="405"/>
      <c r="CE145" s="405"/>
      <c r="CF145" s="405"/>
      <c r="CG145" s="405"/>
      <c r="CH145" s="405"/>
      <c r="CI145" s="405"/>
      <c r="CJ145" s="405"/>
      <c r="CK145" s="405"/>
      <c r="CL145" s="405"/>
      <c r="CM145" s="405"/>
      <c r="CN145" s="405"/>
      <c r="CO145" s="405"/>
      <c r="CP145" s="405"/>
      <c r="CQ145" s="405"/>
      <c r="CR145" s="405"/>
      <c r="CS145" s="405"/>
      <c r="CT145" s="405"/>
      <c r="CU145" s="405"/>
      <c r="CV145" s="405"/>
      <c r="CW145" s="405"/>
      <c r="CX145" s="405"/>
      <c r="CY145" s="405"/>
      <c r="CZ145" s="405"/>
      <c r="DA145" s="405"/>
      <c r="DB145" s="405"/>
      <c r="DC145" s="405"/>
      <c r="DD145" s="405"/>
      <c r="DE145" s="405"/>
      <c r="DF145" s="405"/>
      <c r="DG145" s="405"/>
      <c r="DH145" s="405"/>
      <c r="DI145" s="405"/>
      <c r="DJ145" s="405"/>
      <c r="DK145" s="405"/>
      <c r="DL145" s="405"/>
      <c r="DM145" s="405"/>
      <c r="DN145" s="405"/>
      <c r="DO145" s="405"/>
      <c r="DP145" s="405"/>
      <c r="DQ145" s="405"/>
      <c r="DR145" s="405"/>
      <c r="DS145" s="405"/>
      <c r="DT145" s="405"/>
      <c r="DU145" s="405"/>
      <c r="DV145" s="405"/>
      <c r="DW145" s="405"/>
      <c r="DX145" s="405"/>
      <c r="DY145" s="405"/>
      <c r="DZ145" s="405"/>
      <c r="EA145" s="405"/>
      <c r="EB145" s="405"/>
      <c r="EC145" s="405"/>
      <c r="ED145" s="405"/>
      <c r="EE145" s="405"/>
      <c r="EF145" s="405"/>
      <c r="EG145" s="405"/>
      <c r="EH145" s="405"/>
      <c r="EI145" s="405"/>
      <c r="EJ145" s="405"/>
      <c r="EK145" s="405"/>
      <c r="EL145" s="405"/>
      <c r="EM145" s="405"/>
      <c r="EN145" s="405"/>
    </row>
    <row r="146" spans="2:144" ht="15" customHeight="1" outlineLevel="1">
      <c r="B146" s="444"/>
      <c r="F146" s="87"/>
      <c r="H146" s="403"/>
      <c r="J146" s="403"/>
      <c r="U146" s="405"/>
      <c r="V146" s="405"/>
      <c r="W146" s="405"/>
      <c r="X146" s="405"/>
      <c r="Y146" s="405"/>
      <c r="Z146" s="405"/>
      <c r="AA146" s="405"/>
      <c r="AB146" s="405"/>
      <c r="AC146" s="405"/>
      <c r="AD146" s="405"/>
      <c r="AE146" s="405"/>
      <c r="AF146" s="405"/>
      <c r="AG146" s="405"/>
      <c r="AH146" s="405"/>
      <c r="AI146" s="405"/>
      <c r="AJ146" s="405"/>
      <c r="AK146" s="405"/>
      <c r="AL146" s="405"/>
      <c r="AM146" s="405"/>
      <c r="AN146" s="405"/>
      <c r="AO146" s="405"/>
      <c r="AP146" s="405"/>
      <c r="AQ146" s="405"/>
      <c r="AR146" s="405"/>
      <c r="AS146" s="405"/>
      <c r="AT146" s="405"/>
      <c r="AU146" s="405"/>
      <c r="AV146" s="405"/>
      <c r="AW146" s="405"/>
      <c r="AX146" s="405"/>
      <c r="AY146" s="405"/>
      <c r="AZ146" s="405"/>
      <c r="BA146" s="405"/>
      <c r="BB146" s="405"/>
      <c r="BC146" s="405"/>
      <c r="BD146" s="405"/>
      <c r="BE146" s="405"/>
      <c r="BF146" s="405"/>
      <c r="BG146" s="405"/>
      <c r="BH146" s="405"/>
      <c r="BI146" s="405"/>
      <c r="BJ146" s="405"/>
      <c r="BK146" s="405"/>
      <c r="BL146" s="405"/>
      <c r="BM146" s="405"/>
      <c r="BN146" s="405"/>
      <c r="BO146" s="405"/>
      <c r="BP146" s="405"/>
      <c r="BQ146" s="405"/>
      <c r="BR146" s="405"/>
      <c r="BS146" s="405"/>
      <c r="BT146" s="405"/>
      <c r="BU146" s="405"/>
      <c r="BV146" s="405"/>
      <c r="BW146" s="405"/>
      <c r="BX146" s="405"/>
      <c r="BY146" s="405"/>
      <c r="BZ146" s="405"/>
      <c r="CA146" s="405"/>
      <c r="CB146" s="405"/>
      <c r="CC146" s="405"/>
      <c r="CD146" s="405"/>
      <c r="CE146" s="405"/>
      <c r="CF146" s="405"/>
      <c r="CG146" s="405"/>
      <c r="CH146" s="405"/>
      <c r="CI146" s="405"/>
      <c r="CJ146" s="405"/>
      <c r="CK146" s="405"/>
      <c r="CL146" s="405"/>
      <c r="CM146" s="405"/>
      <c r="CN146" s="405"/>
      <c r="CO146" s="405"/>
      <c r="CP146" s="405"/>
      <c r="CQ146" s="405"/>
      <c r="CR146" s="405"/>
      <c r="CS146" s="405"/>
      <c r="CT146" s="405"/>
      <c r="CU146" s="405"/>
      <c r="CV146" s="405"/>
      <c r="CW146" s="405"/>
      <c r="CX146" s="405"/>
      <c r="CY146" s="405"/>
      <c r="CZ146" s="405"/>
      <c r="DA146" s="405"/>
      <c r="DB146" s="405"/>
      <c r="DC146" s="405"/>
      <c r="DD146" s="405"/>
      <c r="DE146" s="405"/>
      <c r="DF146" s="405"/>
      <c r="DG146" s="405"/>
      <c r="DH146" s="405"/>
      <c r="DI146" s="405"/>
      <c r="DJ146" s="405"/>
      <c r="DK146" s="405"/>
      <c r="DL146" s="405"/>
      <c r="DM146" s="405"/>
      <c r="DN146" s="405"/>
      <c r="DO146" s="405"/>
      <c r="DP146" s="405"/>
      <c r="DQ146" s="405"/>
      <c r="DR146" s="405"/>
      <c r="DS146" s="405"/>
      <c r="DT146" s="405"/>
      <c r="DU146" s="405"/>
      <c r="DV146" s="405"/>
      <c r="DW146" s="405"/>
      <c r="DX146" s="405"/>
      <c r="DY146" s="405"/>
      <c r="DZ146" s="405"/>
      <c r="EA146" s="405"/>
      <c r="EB146" s="405"/>
      <c r="EC146" s="405"/>
      <c r="ED146" s="405"/>
      <c r="EE146" s="405"/>
      <c r="EF146" s="405"/>
      <c r="EG146" s="405"/>
      <c r="EH146" s="405"/>
      <c r="EI146" s="405"/>
      <c r="EJ146" s="405"/>
      <c r="EK146" s="405"/>
      <c r="EL146" s="405"/>
      <c r="EM146" s="405"/>
      <c r="EN146" s="405"/>
    </row>
    <row r="147" spans="2:144" ht="15" customHeight="1" outlineLevel="1">
      <c r="B147" s="411" t="str">
        <f>B100</f>
        <v>Electricity from the grid</v>
      </c>
      <c r="C147" s="411"/>
      <c r="D147" s="411"/>
      <c r="E147" s="411" t="str">
        <f>E100</f>
        <v>Consumption per year:</v>
      </c>
      <c r="F147" s="258">
        <v>0</v>
      </c>
      <c r="G147" s="411" t="str">
        <f>G100</f>
        <v>[kWh]</v>
      </c>
      <c r="H147" s="411"/>
      <c r="J147" s="403"/>
      <c r="U147" s="405"/>
      <c r="V147" s="405"/>
      <c r="W147" s="405"/>
      <c r="X147" s="405"/>
      <c r="Y147" s="405"/>
      <c r="Z147" s="405"/>
      <c r="AA147" s="405"/>
      <c r="AB147" s="405"/>
      <c r="AC147" s="405"/>
      <c r="AD147" s="405"/>
      <c r="AE147" s="405"/>
      <c r="AF147" s="405"/>
      <c r="AG147" s="405"/>
      <c r="AH147" s="405"/>
      <c r="AI147" s="405"/>
      <c r="AJ147" s="405"/>
      <c r="AK147" s="405"/>
      <c r="AL147" s="405"/>
      <c r="AM147" s="405"/>
      <c r="AN147" s="405"/>
      <c r="AO147" s="405"/>
      <c r="AP147" s="405"/>
      <c r="AQ147" s="405"/>
      <c r="AR147" s="405"/>
      <c r="AS147" s="405"/>
      <c r="AT147" s="405"/>
      <c r="AU147" s="405"/>
      <c r="AV147" s="405"/>
      <c r="AW147" s="405"/>
      <c r="AX147" s="405"/>
      <c r="AY147" s="405"/>
      <c r="AZ147" s="405"/>
      <c r="BA147" s="405"/>
      <c r="BB147" s="405"/>
      <c r="BC147" s="405"/>
      <c r="BD147" s="405"/>
      <c r="BE147" s="405"/>
      <c r="BF147" s="405"/>
      <c r="BG147" s="405"/>
      <c r="BH147" s="405"/>
      <c r="BI147" s="405"/>
      <c r="BJ147" s="405"/>
      <c r="BK147" s="405"/>
      <c r="BL147" s="405"/>
      <c r="BM147" s="405"/>
      <c r="BN147" s="405"/>
      <c r="BO147" s="405"/>
      <c r="BP147" s="405"/>
      <c r="BQ147" s="405"/>
      <c r="BR147" s="405"/>
      <c r="BS147" s="405"/>
      <c r="BT147" s="405"/>
      <c r="BU147" s="405"/>
      <c r="BV147" s="405"/>
      <c r="BW147" s="405"/>
      <c r="BX147" s="405"/>
      <c r="BY147" s="405"/>
      <c r="BZ147" s="405"/>
      <c r="CA147" s="405"/>
      <c r="CB147" s="405"/>
      <c r="CC147" s="405"/>
      <c r="CD147" s="405"/>
      <c r="CE147" s="405"/>
      <c r="CF147" s="405"/>
      <c r="CG147" s="405"/>
      <c r="CH147" s="405"/>
      <c r="CI147" s="405"/>
      <c r="CJ147" s="405"/>
      <c r="CK147" s="405"/>
      <c r="CL147" s="405"/>
      <c r="CM147" s="405"/>
      <c r="CN147" s="405"/>
      <c r="CO147" s="405"/>
      <c r="CP147" s="405"/>
      <c r="CQ147" s="405"/>
      <c r="CR147" s="405"/>
      <c r="CS147" s="405"/>
      <c r="CT147" s="405"/>
      <c r="CU147" s="405"/>
      <c r="CV147" s="405"/>
      <c r="CW147" s="405"/>
      <c r="CX147" s="405"/>
      <c r="CY147" s="405"/>
      <c r="CZ147" s="405"/>
      <c r="DA147" s="405"/>
      <c r="DB147" s="405"/>
      <c r="DC147" s="405"/>
      <c r="DD147" s="405"/>
      <c r="DE147" s="405"/>
      <c r="DF147" s="405"/>
      <c r="DG147" s="405"/>
      <c r="DH147" s="405"/>
      <c r="DI147" s="405"/>
      <c r="DJ147" s="405"/>
      <c r="DK147" s="405"/>
      <c r="DL147" s="405"/>
      <c r="DM147" s="405"/>
      <c r="DN147" s="405"/>
      <c r="DO147" s="405"/>
      <c r="DP147" s="405"/>
      <c r="DQ147" s="405"/>
      <c r="DR147" s="405"/>
      <c r="DS147" s="405"/>
      <c r="DT147" s="405"/>
      <c r="DU147" s="405"/>
      <c r="DV147" s="405"/>
      <c r="DW147" s="405"/>
      <c r="DX147" s="405"/>
      <c r="DY147" s="405"/>
      <c r="DZ147" s="405"/>
      <c r="EA147" s="405"/>
      <c r="EB147" s="405"/>
      <c r="EC147" s="405"/>
      <c r="ED147" s="405"/>
      <c r="EE147" s="405"/>
      <c r="EF147" s="405"/>
      <c r="EG147" s="405"/>
      <c r="EH147" s="405"/>
      <c r="EI147" s="405"/>
      <c r="EJ147" s="405"/>
      <c r="EK147" s="405"/>
      <c r="EL147" s="405"/>
      <c r="EM147" s="405"/>
      <c r="EN147" s="405"/>
    </row>
    <row r="148" spans="2:144" ht="15" customHeight="1" outlineLevel="1">
      <c r="B148" s="256"/>
      <c r="C148" s="411" t="str">
        <f>G22</f>
        <v>[Selection]</v>
      </c>
      <c r="D148" s="411"/>
      <c r="E148" s="411" t="str">
        <f>E100</f>
        <v>Consumption per year:</v>
      </c>
      <c r="F148" s="258">
        <v>0</v>
      </c>
      <c r="G148" s="420" t="str">
        <f>VLOOKUP(B148,Hidden_Database!$C$11:$I$75,3,FALSE)</f>
        <v>[kg]</v>
      </c>
      <c r="H148" s="411"/>
      <c r="J148" s="403"/>
      <c r="U148" s="405"/>
      <c r="V148" s="405"/>
      <c r="W148" s="405"/>
      <c r="X148" s="405"/>
      <c r="Y148" s="405"/>
      <c r="Z148" s="405"/>
      <c r="AA148" s="405"/>
      <c r="AB148" s="405"/>
      <c r="AC148" s="405"/>
      <c r="AD148" s="405"/>
      <c r="AE148" s="405"/>
      <c r="AF148" s="405"/>
      <c r="AG148" s="405"/>
      <c r="AH148" s="405"/>
      <c r="AI148" s="405"/>
      <c r="AJ148" s="405"/>
      <c r="AK148" s="405"/>
      <c r="AL148" s="405"/>
      <c r="AM148" s="405"/>
      <c r="AN148" s="405"/>
      <c r="AO148" s="405"/>
      <c r="AP148" s="405"/>
      <c r="AQ148" s="405"/>
      <c r="AR148" s="405"/>
      <c r="AS148" s="405"/>
      <c r="AT148" s="405"/>
      <c r="AU148" s="405"/>
      <c r="AV148" s="405"/>
      <c r="AW148" s="405"/>
      <c r="AX148" s="405"/>
      <c r="AY148" s="405"/>
      <c r="AZ148" s="405"/>
      <c r="BA148" s="405"/>
      <c r="BB148" s="405"/>
      <c r="BC148" s="405"/>
      <c r="BD148" s="405"/>
      <c r="BE148" s="405"/>
      <c r="BF148" s="405"/>
      <c r="BG148" s="405"/>
      <c r="BH148" s="405"/>
      <c r="BI148" s="405"/>
      <c r="BJ148" s="405"/>
      <c r="BK148" s="405"/>
      <c r="BL148" s="405"/>
      <c r="BM148" s="405"/>
      <c r="BN148" s="405"/>
      <c r="BO148" s="405"/>
      <c r="BP148" s="405"/>
      <c r="BQ148" s="405"/>
      <c r="BR148" s="405"/>
      <c r="BS148" s="405"/>
      <c r="BT148" s="405"/>
      <c r="BU148" s="405"/>
      <c r="BV148" s="405"/>
      <c r="BW148" s="405"/>
      <c r="BX148" s="405"/>
      <c r="BY148" s="405"/>
      <c r="BZ148" s="405"/>
      <c r="CA148" s="405"/>
      <c r="CB148" s="405"/>
      <c r="CC148" s="405"/>
      <c r="CD148" s="405"/>
      <c r="CE148" s="405"/>
      <c r="CF148" s="405"/>
      <c r="CG148" s="405"/>
      <c r="CH148" s="405"/>
      <c r="CI148" s="405"/>
      <c r="CJ148" s="405"/>
      <c r="CK148" s="405"/>
      <c r="CL148" s="405"/>
      <c r="CM148" s="405"/>
      <c r="CN148" s="405"/>
      <c r="CO148" s="405"/>
      <c r="CP148" s="405"/>
      <c r="CQ148" s="405"/>
      <c r="CR148" s="405"/>
      <c r="CS148" s="405"/>
      <c r="CT148" s="405"/>
      <c r="CU148" s="405"/>
      <c r="CV148" s="405"/>
      <c r="CW148" s="405"/>
      <c r="CX148" s="405"/>
      <c r="CY148" s="405"/>
      <c r="CZ148" s="405"/>
      <c r="DA148" s="405"/>
      <c r="DB148" s="405"/>
      <c r="DC148" s="405"/>
      <c r="DD148" s="405"/>
      <c r="DE148" s="405"/>
      <c r="DF148" s="405"/>
      <c r="DG148" s="405"/>
      <c r="DH148" s="405"/>
      <c r="DI148" s="405"/>
      <c r="DJ148" s="405"/>
      <c r="DK148" s="405"/>
      <c r="DL148" s="405"/>
      <c r="DM148" s="405"/>
      <c r="DN148" s="405"/>
      <c r="DO148" s="405"/>
      <c r="DP148" s="405"/>
      <c r="DQ148" s="405"/>
      <c r="DR148" s="405"/>
      <c r="DS148" s="405"/>
      <c r="DT148" s="405"/>
      <c r="DU148" s="405"/>
      <c r="DV148" s="405"/>
      <c r="DW148" s="405"/>
      <c r="DX148" s="405"/>
      <c r="DY148" s="405"/>
      <c r="DZ148" s="405"/>
      <c r="EA148" s="405"/>
      <c r="EB148" s="405"/>
      <c r="EC148" s="405"/>
      <c r="ED148" s="405"/>
      <c r="EE148" s="405"/>
      <c r="EF148" s="405"/>
      <c r="EG148" s="405"/>
      <c r="EH148" s="405"/>
      <c r="EI148" s="405"/>
      <c r="EJ148" s="405"/>
      <c r="EK148" s="405"/>
      <c r="EL148" s="405"/>
      <c r="EM148" s="405"/>
      <c r="EN148" s="405"/>
    </row>
    <row r="149" spans="2:144" ht="15" customHeight="1" outlineLevel="1">
      <c r="B149" s="256"/>
      <c r="C149" s="411" t="str">
        <f>G22</f>
        <v>[Selection]</v>
      </c>
      <c r="D149" s="411"/>
      <c r="E149" s="411" t="str">
        <f>E100</f>
        <v>Consumption per year:</v>
      </c>
      <c r="F149" s="258">
        <v>0</v>
      </c>
      <c r="G149" s="420" t="str">
        <f>VLOOKUP(B149,Hidden_Database!$C$11:$I$75,3,FALSE)</f>
        <v>[kg]</v>
      </c>
      <c r="H149" s="411"/>
      <c r="J149" s="403"/>
      <c r="U149" s="405"/>
      <c r="V149" s="405"/>
      <c r="W149" s="405"/>
      <c r="X149" s="405"/>
      <c r="Y149" s="405"/>
      <c r="Z149" s="405"/>
      <c r="AA149" s="405"/>
      <c r="AB149" s="405"/>
      <c r="AC149" s="405"/>
      <c r="AD149" s="405"/>
      <c r="AE149" s="405"/>
      <c r="AF149" s="405"/>
      <c r="AG149" s="405"/>
      <c r="AH149" s="405"/>
      <c r="AI149" s="405"/>
      <c r="AJ149" s="405"/>
      <c r="AK149" s="405"/>
      <c r="AL149" s="405"/>
      <c r="AM149" s="405"/>
      <c r="AN149" s="405"/>
      <c r="AO149" s="405"/>
      <c r="AP149" s="405"/>
      <c r="AQ149" s="405"/>
      <c r="AR149" s="405"/>
      <c r="AS149" s="405"/>
      <c r="AT149" s="405"/>
      <c r="AU149" s="405"/>
      <c r="AV149" s="405"/>
      <c r="AW149" s="405"/>
      <c r="AX149" s="405"/>
      <c r="AY149" s="405"/>
      <c r="AZ149" s="405"/>
      <c r="BA149" s="405"/>
      <c r="BB149" s="405"/>
      <c r="BC149" s="405"/>
      <c r="BD149" s="405"/>
      <c r="BE149" s="405"/>
      <c r="BF149" s="405"/>
      <c r="BG149" s="405"/>
      <c r="BH149" s="405"/>
      <c r="BI149" s="405"/>
      <c r="BJ149" s="405"/>
      <c r="BK149" s="405"/>
      <c r="BL149" s="405"/>
      <c r="BM149" s="405"/>
      <c r="BN149" s="405"/>
      <c r="BO149" s="405"/>
      <c r="BP149" s="405"/>
      <c r="BQ149" s="405"/>
      <c r="BR149" s="405"/>
      <c r="BS149" s="405"/>
      <c r="BT149" s="405"/>
      <c r="BU149" s="405"/>
      <c r="BV149" s="405"/>
      <c r="BW149" s="405"/>
      <c r="BX149" s="405"/>
      <c r="BY149" s="405"/>
      <c r="BZ149" s="405"/>
      <c r="CA149" s="405"/>
      <c r="CB149" s="405"/>
      <c r="CC149" s="405"/>
      <c r="CD149" s="405"/>
      <c r="CE149" s="405"/>
      <c r="CF149" s="405"/>
      <c r="CG149" s="405"/>
      <c r="CH149" s="405"/>
      <c r="CI149" s="405"/>
      <c r="CJ149" s="405"/>
      <c r="CK149" s="405"/>
      <c r="CL149" s="405"/>
      <c r="CM149" s="405"/>
      <c r="CN149" s="405"/>
      <c r="CO149" s="405"/>
      <c r="CP149" s="405"/>
      <c r="CQ149" s="405"/>
      <c r="CR149" s="405"/>
      <c r="CS149" s="405"/>
      <c r="CT149" s="405"/>
      <c r="CU149" s="405"/>
      <c r="CV149" s="405"/>
      <c r="CW149" s="405"/>
      <c r="CX149" s="405"/>
      <c r="CY149" s="405"/>
      <c r="CZ149" s="405"/>
      <c r="DA149" s="405"/>
      <c r="DB149" s="405"/>
      <c r="DC149" s="405"/>
      <c r="DD149" s="405"/>
      <c r="DE149" s="405"/>
      <c r="DF149" s="405"/>
      <c r="DG149" s="405"/>
      <c r="DH149" s="405"/>
      <c r="DI149" s="405"/>
      <c r="DJ149" s="405"/>
      <c r="DK149" s="405"/>
      <c r="DL149" s="405"/>
      <c r="DM149" s="405"/>
      <c r="DN149" s="405"/>
      <c r="DO149" s="405"/>
      <c r="DP149" s="405"/>
      <c r="DQ149" s="405"/>
      <c r="DR149" s="405"/>
      <c r="DS149" s="405"/>
      <c r="DT149" s="405"/>
      <c r="DU149" s="405"/>
      <c r="DV149" s="405"/>
      <c r="DW149" s="405"/>
      <c r="DX149" s="405"/>
      <c r="DY149" s="405"/>
      <c r="DZ149" s="405"/>
      <c r="EA149" s="405"/>
      <c r="EB149" s="405"/>
      <c r="EC149" s="405"/>
      <c r="ED149" s="405"/>
      <c r="EE149" s="405"/>
      <c r="EF149" s="405"/>
      <c r="EG149" s="405"/>
      <c r="EH149" s="405"/>
      <c r="EI149" s="405"/>
      <c r="EJ149" s="405"/>
      <c r="EK149" s="405"/>
      <c r="EL149" s="405"/>
      <c r="EM149" s="405"/>
      <c r="EN149" s="405"/>
    </row>
    <row r="150" spans="2:144" ht="15" customHeight="1" outlineLevel="1">
      <c r="B150" s="445"/>
      <c r="C150" s="413"/>
      <c r="D150" s="413"/>
      <c r="E150" s="413"/>
      <c r="F150" s="466"/>
      <c r="G150" s="413"/>
      <c r="H150" s="404"/>
      <c r="J150" s="404"/>
      <c r="U150" s="405"/>
      <c r="V150" s="405"/>
      <c r="W150" s="405"/>
      <c r="X150" s="405"/>
      <c r="Y150" s="405"/>
      <c r="Z150" s="405"/>
      <c r="AA150" s="405"/>
      <c r="AB150" s="405"/>
      <c r="AC150" s="405"/>
      <c r="AD150" s="405"/>
      <c r="AE150" s="405"/>
      <c r="AF150" s="405"/>
      <c r="AG150" s="405"/>
      <c r="AH150" s="405"/>
      <c r="AI150" s="405"/>
      <c r="AJ150" s="405"/>
      <c r="AK150" s="405"/>
      <c r="AL150" s="405"/>
      <c r="AM150" s="405"/>
      <c r="AN150" s="405"/>
      <c r="AO150" s="405"/>
      <c r="AP150" s="405"/>
      <c r="AQ150" s="405"/>
      <c r="AR150" s="405"/>
      <c r="AS150" s="405"/>
      <c r="AT150" s="405"/>
      <c r="AU150" s="405"/>
      <c r="AV150" s="405"/>
      <c r="AW150" s="405"/>
      <c r="AX150" s="405"/>
      <c r="AY150" s="405"/>
      <c r="AZ150" s="405"/>
      <c r="BA150" s="405"/>
      <c r="BB150" s="405"/>
      <c r="BC150" s="405"/>
      <c r="BD150" s="405"/>
      <c r="BE150" s="405"/>
      <c r="BF150" s="405"/>
      <c r="BG150" s="405"/>
      <c r="BH150" s="405"/>
      <c r="BI150" s="405"/>
      <c r="BJ150" s="405"/>
      <c r="BK150" s="405"/>
      <c r="BL150" s="405"/>
      <c r="BM150" s="405"/>
      <c r="BN150" s="405"/>
      <c r="BO150" s="405"/>
      <c r="BP150" s="405"/>
      <c r="BQ150" s="405"/>
      <c r="BR150" s="405"/>
      <c r="BS150" s="405"/>
      <c r="BT150" s="405"/>
      <c r="BU150" s="405"/>
      <c r="BV150" s="405"/>
      <c r="BW150" s="405"/>
      <c r="BX150" s="405"/>
      <c r="BY150" s="405"/>
      <c r="BZ150" s="405"/>
      <c r="CA150" s="405"/>
      <c r="CB150" s="405"/>
      <c r="CC150" s="405"/>
      <c r="CD150" s="405"/>
      <c r="CE150" s="405"/>
      <c r="CF150" s="405"/>
      <c r="CG150" s="405"/>
      <c r="CH150" s="405"/>
      <c r="CI150" s="405"/>
      <c r="CJ150" s="405"/>
      <c r="CK150" s="405"/>
      <c r="CL150" s="405"/>
      <c r="CM150" s="405"/>
      <c r="CN150" s="405"/>
      <c r="CO150" s="405"/>
      <c r="CP150" s="405"/>
      <c r="CQ150" s="405"/>
      <c r="CR150" s="405"/>
      <c r="CS150" s="405"/>
      <c r="CT150" s="405"/>
      <c r="CU150" s="405"/>
      <c r="CV150" s="405"/>
      <c r="CW150" s="405"/>
      <c r="CX150" s="405"/>
      <c r="CY150" s="405"/>
      <c r="CZ150" s="405"/>
      <c r="DA150" s="405"/>
      <c r="DB150" s="405"/>
      <c r="DC150" s="405"/>
      <c r="DD150" s="405"/>
      <c r="DE150" s="405"/>
      <c r="DF150" s="405"/>
      <c r="DG150" s="405"/>
      <c r="DH150" s="405"/>
      <c r="DI150" s="405"/>
      <c r="DJ150" s="405"/>
      <c r="DK150" s="405"/>
      <c r="DL150" s="405"/>
      <c r="DM150" s="405"/>
      <c r="DN150" s="405"/>
      <c r="DO150" s="405"/>
      <c r="DP150" s="405"/>
      <c r="DQ150" s="405"/>
      <c r="DR150" s="405"/>
      <c r="DS150" s="405"/>
      <c r="DT150" s="405"/>
      <c r="DU150" s="405"/>
      <c r="DV150" s="405"/>
      <c r="DW150" s="405"/>
      <c r="DX150" s="405"/>
      <c r="DY150" s="405"/>
      <c r="DZ150" s="405"/>
      <c r="EA150" s="405"/>
      <c r="EB150" s="405"/>
      <c r="EC150" s="405"/>
      <c r="ED150" s="405"/>
      <c r="EE150" s="405"/>
      <c r="EF150" s="405"/>
      <c r="EG150" s="405"/>
      <c r="EH150" s="405"/>
      <c r="EI150" s="405"/>
      <c r="EJ150" s="405"/>
      <c r="EK150" s="405"/>
      <c r="EL150" s="405"/>
      <c r="EM150" s="405"/>
      <c r="EN150" s="405"/>
    </row>
    <row r="151" spans="2:144" ht="15" customHeight="1" outlineLevel="1">
      <c r="B151" s="411" t="str">
        <f>B104</f>
        <v>Water consumption per year</v>
      </c>
      <c r="C151" s="411"/>
      <c r="D151" s="411"/>
      <c r="E151" s="411" t="str">
        <f>E100</f>
        <v>Consumption per year:</v>
      </c>
      <c r="F151" s="258">
        <v>0</v>
      </c>
      <c r="G151" s="411" t="str">
        <f>G104</f>
        <v>[m³]</v>
      </c>
      <c r="H151" s="411"/>
      <c r="J151" s="403"/>
      <c r="U151" s="405"/>
      <c r="V151" s="405"/>
      <c r="W151" s="405"/>
      <c r="X151" s="405"/>
      <c r="Y151" s="405"/>
      <c r="Z151" s="405"/>
      <c r="AA151" s="405"/>
      <c r="AB151" s="405"/>
      <c r="AC151" s="405"/>
      <c r="AD151" s="405"/>
      <c r="AE151" s="405"/>
      <c r="AF151" s="405"/>
      <c r="AG151" s="405"/>
      <c r="AH151" s="405"/>
      <c r="AI151" s="405"/>
      <c r="AJ151" s="405"/>
      <c r="AK151" s="405"/>
      <c r="AL151" s="405"/>
      <c r="AM151" s="405"/>
      <c r="AN151" s="405"/>
      <c r="AO151" s="405"/>
      <c r="AP151" s="405"/>
      <c r="AQ151" s="405"/>
      <c r="AR151" s="405"/>
      <c r="AS151" s="405"/>
      <c r="AT151" s="405"/>
      <c r="AU151" s="405"/>
      <c r="AV151" s="405"/>
      <c r="AW151" s="405"/>
      <c r="AX151" s="405"/>
      <c r="AY151" s="405"/>
      <c r="AZ151" s="405"/>
      <c r="BA151" s="405"/>
      <c r="BB151" s="405"/>
      <c r="BC151" s="405"/>
      <c r="BD151" s="405"/>
      <c r="BE151" s="405"/>
      <c r="BF151" s="405"/>
      <c r="BG151" s="405"/>
      <c r="BH151" s="405"/>
      <c r="BI151" s="405"/>
      <c r="BJ151" s="405"/>
      <c r="BK151" s="405"/>
      <c r="BL151" s="405"/>
      <c r="BM151" s="405"/>
      <c r="BN151" s="405"/>
      <c r="BO151" s="405"/>
      <c r="BP151" s="405"/>
      <c r="BQ151" s="405"/>
      <c r="BR151" s="405"/>
      <c r="BS151" s="405"/>
      <c r="BT151" s="405"/>
      <c r="BU151" s="405"/>
      <c r="BV151" s="405"/>
      <c r="BW151" s="405"/>
      <c r="BX151" s="405"/>
      <c r="BY151" s="405"/>
      <c r="BZ151" s="405"/>
      <c r="CA151" s="405"/>
      <c r="CB151" s="405"/>
      <c r="CC151" s="405"/>
      <c r="CD151" s="405"/>
      <c r="CE151" s="405"/>
      <c r="CF151" s="405"/>
      <c r="CG151" s="405"/>
      <c r="CH151" s="405"/>
      <c r="CI151" s="405"/>
      <c r="CJ151" s="405"/>
      <c r="CK151" s="405"/>
      <c r="CL151" s="405"/>
      <c r="CM151" s="405"/>
      <c r="CN151" s="405"/>
      <c r="CO151" s="405"/>
      <c r="CP151" s="405"/>
      <c r="CQ151" s="405"/>
      <c r="CR151" s="405"/>
      <c r="CS151" s="405"/>
      <c r="CT151" s="405"/>
      <c r="CU151" s="405"/>
      <c r="CV151" s="405"/>
      <c r="CW151" s="405"/>
      <c r="CX151" s="405"/>
      <c r="CY151" s="405"/>
      <c r="CZ151" s="405"/>
      <c r="DA151" s="405"/>
      <c r="DB151" s="405"/>
      <c r="DC151" s="405"/>
      <c r="DD151" s="405"/>
      <c r="DE151" s="405"/>
      <c r="DF151" s="405"/>
      <c r="DG151" s="405"/>
      <c r="DH151" s="405"/>
      <c r="DI151" s="405"/>
      <c r="DJ151" s="405"/>
      <c r="DK151" s="405"/>
      <c r="DL151" s="405"/>
      <c r="DM151" s="405"/>
      <c r="DN151" s="405"/>
      <c r="DO151" s="405"/>
      <c r="DP151" s="405"/>
      <c r="DQ151" s="405"/>
      <c r="DR151" s="405"/>
      <c r="DS151" s="405"/>
      <c r="DT151" s="405"/>
      <c r="DU151" s="405"/>
      <c r="DV151" s="405"/>
      <c r="DW151" s="405"/>
      <c r="DX151" s="405"/>
      <c r="DY151" s="405"/>
      <c r="DZ151" s="405"/>
      <c r="EA151" s="405"/>
      <c r="EB151" s="405"/>
      <c r="EC151" s="405"/>
      <c r="ED151" s="405"/>
      <c r="EE151" s="405"/>
      <c r="EF151" s="405"/>
      <c r="EG151" s="405"/>
      <c r="EH151" s="405"/>
      <c r="EI151" s="405"/>
      <c r="EJ151" s="405"/>
      <c r="EK151" s="405"/>
      <c r="EL151" s="405"/>
      <c r="EM151" s="405"/>
      <c r="EN151" s="405"/>
    </row>
    <row r="152" spans="2:144" ht="15" customHeight="1" outlineLevel="1">
      <c r="B152" s="466"/>
      <c r="C152" s="413"/>
      <c r="D152" s="413"/>
      <c r="E152" s="413"/>
      <c r="F152" s="466"/>
      <c r="G152" s="413"/>
      <c r="H152" s="404"/>
      <c r="J152" s="404"/>
      <c r="U152" s="405"/>
      <c r="V152" s="405"/>
      <c r="W152" s="405"/>
      <c r="X152" s="405"/>
      <c r="Y152" s="405"/>
      <c r="Z152" s="405"/>
      <c r="AA152" s="405"/>
      <c r="AB152" s="405"/>
      <c r="AC152" s="405"/>
      <c r="AD152" s="405"/>
      <c r="AE152" s="405"/>
      <c r="AF152" s="405"/>
      <c r="AG152" s="405"/>
      <c r="AH152" s="405"/>
      <c r="AI152" s="405"/>
      <c r="AJ152" s="405"/>
      <c r="AK152" s="405"/>
      <c r="AL152" s="405"/>
      <c r="AM152" s="405"/>
      <c r="AN152" s="405"/>
      <c r="AO152" s="405"/>
      <c r="AP152" s="405"/>
      <c r="AQ152" s="405"/>
      <c r="AR152" s="405"/>
      <c r="AS152" s="405"/>
      <c r="AT152" s="405"/>
      <c r="AU152" s="405"/>
      <c r="AV152" s="405"/>
      <c r="AW152" s="405"/>
      <c r="AX152" s="405"/>
      <c r="AY152" s="405"/>
      <c r="AZ152" s="405"/>
      <c r="BA152" s="405"/>
      <c r="BB152" s="405"/>
      <c r="BC152" s="405"/>
      <c r="BD152" s="405"/>
      <c r="BE152" s="405"/>
      <c r="BF152" s="405"/>
      <c r="BG152" s="405"/>
      <c r="BH152" s="405"/>
      <c r="BI152" s="405"/>
      <c r="BJ152" s="405"/>
      <c r="BK152" s="405"/>
      <c r="BL152" s="405"/>
      <c r="BM152" s="405"/>
      <c r="BN152" s="405"/>
      <c r="BO152" s="405"/>
      <c r="BP152" s="405"/>
      <c r="BQ152" s="405"/>
      <c r="BR152" s="405"/>
      <c r="BS152" s="405"/>
      <c r="BT152" s="405"/>
      <c r="BU152" s="405"/>
      <c r="BV152" s="405"/>
      <c r="BW152" s="405"/>
      <c r="BX152" s="405"/>
      <c r="BY152" s="405"/>
      <c r="BZ152" s="405"/>
      <c r="CA152" s="405"/>
      <c r="CB152" s="405"/>
      <c r="CC152" s="405"/>
      <c r="CD152" s="405"/>
      <c r="CE152" s="405"/>
      <c r="CF152" s="405"/>
      <c r="CG152" s="405"/>
      <c r="CH152" s="405"/>
      <c r="CI152" s="405"/>
      <c r="CJ152" s="405"/>
      <c r="CK152" s="405"/>
      <c r="CL152" s="405"/>
      <c r="CM152" s="405"/>
      <c r="CN152" s="405"/>
      <c r="CO152" s="405"/>
      <c r="CP152" s="405"/>
      <c r="CQ152" s="405"/>
      <c r="CR152" s="405"/>
      <c r="CS152" s="405"/>
      <c r="CT152" s="405"/>
      <c r="CU152" s="405"/>
      <c r="CV152" s="405"/>
      <c r="CW152" s="405"/>
      <c r="CX152" s="405"/>
      <c r="CY152" s="405"/>
      <c r="CZ152" s="405"/>
      <c r="DA152" s="405"/>
      <c r="DB152" s="405"/>
      <c r="DC152" s="405"/>
      <c r="DD152" s="405"/>
      <c r="DE152" s="405"/>
      <c r="DF152" s="405"/>
      <c r="DG152" s="405"/>
      <c r="DH152" s="405"/>
      <c r="DI152" s="405"/>
      <c r="DJ152" s="405"/>
      <c r="DK152" s="405"/>
      <c r="DL152" s="405"/>
      <c r="DM152" s="405"/>
      <c r="DN152" s="405"/>
      <c r="DO152" s="405"/>
      <c r="DP152" s="405"/>
      <c r="DQ152" s="405"/>
      <c r="DR152" s="405"/>
      <c r="DS152" s="405"/>
      <c r="DT152" s="405"/>
      <c r="DU152" s="405"/>
      <c r="DV152" s="405"/>
      <c r="DW152" s="405"/>
      <c r="DX152" s="405"/>
      <c r="DY152" s="405"/>
      <c r="DZ152" s="405"/>
      <c r="EA152" s="405"/>
      <c r="EB152" s="405"/>
      <c r="EC152" s="405"/>
      <c r="ED152" s="405"/>
      <c r="EE152" s="405"/>
      <c r="EF152" s="405"/>
      <c r="EG152" s="405"/>
      <c r="EH152" s="405"/>
      <c r="EI152" s="405"/>
      <c r="EJ152" s="405"/>
      <c r="EK152" s="405"/>
      <c r="EL152" s="405"/>
      <c r="EM152" s="405"/>
      <c r="EN152" s="405"/>
    </row>
    <row r="153" spans="2:144" ht="15" customHeight="1" outlineLevel="1">
      <c r="B153" s="411" t="str">
        <f>B106</f>
        <v>Type of refrigerant</v>
      </c>
      <c r="C153" s="411"/>
      <c r="D153" s="411"/>
      <c r="E153" s="411"/>
      <c r="F153" s="257" t="s">
        <v>249</v>
      </c>
      <c r="G153" s="411" t="str">
        <f>G106</f>
        <v>[Selection]</v>
      </c>
      <c r="H153" s="411"/>
      <c r="J153" s="403"/>
      <c r="U153" s="405"/>
      <c r="V153" s="405"/>
      <c r="W153" s="405"/>
      <c r="X153" s="405"/>
      <c r="Y153" s="405"/>
      <c r="Z153" s="405"/>
      <c r="AA153" s="405"/>
      <c r="AB153" s="405"/>
      <c r="AC153" s="405"/>
      <c r="AD153" s="405"/>
      <c r="AE153" s="405"/>
      <c r="AF153" s="405"/>
      <c r="AG153" s="405"/>
      <c r="AH153" s="405"/>
      <c r="AI153" s="405"/>
      <c r="AJ153" s="405"/>
      <c r="AK153" s="405"/>
      <c r="AL153" s="405"/>
      <c r="AM153" s="405"/>
      <c r="AN153" s="405"/>
      <c r="AO153" s="405"/>
      <c r="AP153" s="405"/>
      <c r="AQ153" s="405"/>
      <c r="AR153" s="405"/>
      <c r="AS153" s="405"/>
      <c r="AT153" s="405"/>
      <c r="AU153" s="405"/>
      <c r="AV153" s="405"/>
      <c r="AW153" s="405"/>
      <c r="AX153" s="405"/>
      <c r="AY153" s="405"/>
      <c r="AZ153" s="405"/>
      <c r="BA153" s="405"/>
      <c r="BB153" s="405"/>
      <c r="BC153" s="405"/>
      <c r="BD153" s="405"/>
      <c r="BE153" s="405"/>
      <c r="BF153" s="405"/>
      <c r="BG153" s="405"/>
      <c r="BH153" s="405"/>
      <c r="BI153" s="405"/>
      <c r="BJ153" s="405"/>
      <c r="BK153" s="405"/>
      <c r="BL153" s="405"/>
      <c r="BM153" s="405"/>
      <c r="BN153" s="405"/>
      <c r="BO153" s="405"/>
      <c r="BP153" s="405"/>
      <c r="BQ153" s="405"/>
      <c r="BR153" s="405"/>
      <c r="BS153" s="405"/>
      <c r="BT153" s="405"/>
      <c r="BU153" s="405"/>
      <c r="BV153" s="405"/>
      <c r="BW153" s="405"/>
      <c r="BX153" s="405"/>
      <c r="BY153" s="405"/>
      <c r="BZ153" s="405"/>
      <c r="CA153" s="405"/>
      <c r="CB153" s="405"/>
      <c r="CC153" s="405"/>
      <c r="CD153" s="405"/>
      <c r="CE153" s="405"/>
      <c r="CF153" s="405"/>
      <c r="CG153" s="405"/>
      <c r="CH153" s="405"/>
      <c r="CI153" s="405"/>
      <c r="CJ153" s="405"/>
      <c r="CK153" s="405"/>
      <c r="CL153" s="405"/>
      <c r="CM153" s="405"/>
      <c r="CN153" s="405"/>
      <c r="CO153" s="405"/>
      <c r="CP153" s="405"/>
      <c r="CQ153" s="405"/>
      <c r="CR153" s="405"/>
      <c r="CS153" s="405"/>
      <c r="CT153" s="405"/>
      <c r="CU153" s="405"/>
      <c r="CV153" s="405"/>
      <c r="CW153" s="405"/>
      <c r="CX153" s="405"/>
      <c r="CY153" s="405"/>
      <c r="CZ153" s="405"/>
      <c r="DA153" s="405"/>
      <c r="DB153" s="405"/>
      <c r="DC153" s="405"/>
      <c r="DD153" s="405"/>
      <c r="DE153" s="405"/>
      <c r="DF153" s="405"/>
      <c r="DG153" s="405"/>
      <c r="DH153" s="405"/>
      <c r="DI153" s="405"/>
      <c r="DJ153" s="405"/>
      <c r="DK153" s="405"/>
      <c r="DL153" s="405"/>
      <c r="DM153" s="405"/>
      <c r="DN153" s="405"/>
      <c r="DO153" s="405"/>
      <c r="DP153" s="405"/>
      <c r="DQ153" s="405"/>
      <c r="DR153" s="405"/>
      <c r="DS153" s="405"/>
      <c r="DT153" s="405"/>
      <c r="DU153" s="405"/>
      <c r="DV153" s="405"/>
      <c r="DW153" s="405"/>
      <c r="DX153" s="405"/>
      <c r="DY153" s="405"/>
      <c r="DZ153" s="405"/>
      <c r="EA153" s="405"/>
      <c r="EB153" s="405"/>
      <c r="EC153" s="405"/>
      <c r="ED153" s="405"/>
      <c r="EE153" s="405"/>
      <c r="EF153" s="405"/>
      <c r="EG153" s="405"/>
      <c r="EH153" s="405"/>
      <c r="EI153" s="405"/>
      <c r="EJ153" s="405"/>
      <c r="EK153" s="405"/>
      <c r="EL153" s="405"/>
      <c r="EM153" s="405"/>
      <c r="EN153" s="405"/>
    </row>
    <row r="154" spans="2:144" ht="15" customHeight="1" outlineLevel="1">
      <c r="B154" s="411" t="str">
        <f>B107</f>
        <v>Initial annual precharge</v>
      </c>
      <c r="C154" s="411"/>
      <c r="D154" s="411"/>
      <c r="E154" s="411"/>
      <c r="F154" s="258">
        <v>0</v>
      </c>
      <c r="G154" s="411" t="str">
        <f>G107</f>
        <v>[kg]</v>
      </c>
      <c r="H154" s="411"/>
      <c r="J154" s="403"/>
      <c r="U154" s="405"/>
      <c r="V154" s="405"/>
      <c r="W154" s="405"/>
      <c r="X154" s="405"/>
      <c r="Y154" s="405"/>
      <c r="Z154" s="405"/>
      <c r="AA154" s="405"/>
      <c r="AB154" s="405"/>
      <c r="AC154" s="405"/>
      <c r="AD154" s="405"/>
      <c r="AE154" s="405"/>
      <c r="AF154" s="405"/>
      <c r="AG154" s="405"/>
      <c r="AH154" s="405"/>
      <c r="AI154" s="405"/>
      <c r="AJ154" s="405"/>
      <c r="AK154" s="405"/>
      <c r="AL154" s="405"/>
      <c r="AM154" s="405"/>
      <c r="AN154" s="405"/>
      <c r="AO154" s="405"/>
      <c r="AP154" s="405"/>
      <c r="AQ154" s="405"/>
      <c r="AR154" s="405"/>
      <c r="AS154" s="405"/>
      <c r="AT154" s="405"/>
      <c r="AU154" s="405"/>
      <c r="AV154" s="405"/>
      <c r="AW154" s="405"/>
      <c r="AX154" s="405"/>
      <c r="AY154" s="405"/>
      <c r="AZ154" s="405"/>
      <c r="BA154" s="405"/>
      <c r="BB154" s="405"/>
      <c r="BC154" s="405"/>
      <c r="BD154" s="405"/>
      <c r="BE154" s="405"/>
      <c r="BF154" s="405"/>
      <c r="BG154" s="405"/>
      <c r="BH154" s="405"/>
      <c r="BI154" s="405"/>
      <c r="BJ154" s="405"/>
      <c r="BK154" s="405"/>
      <c r="BL154" s="405"/>
      <c r="BM154" s="405"/>
      <c r="BN154" s="405"/>
      <c r="BO154" s="405"/>
      <c r="BP154" s="405"/>
      <c r="BQ154" s="405"/>
      <c r="BR154" s="405"/>
      <c r="BS154" s="405"/>
      <c r="BT154" s="405"/>
      <c r="BU154" s="405"/>
      <c r="BV154" s="405"/>
      <c r="BW154" s="405"/>
      <c r="BX154" s="405"/>
      <c r="BY154" s="405"/>
      <c r="BZ154" s="405"/>
      <c r="CA154" s="405"/>
      <c r="CB154" s="405"/>
      <c r="CC154" s="405"/>
      <c r="CD154" s="405"/>
      <c r="CE154" s="405"/>
      <c r="CF154" s="405"/>
      <c r="CG154" s="405"/>
      <c r="CH154" s="405"/>
      <c r="CI154" s="405"/>
      <c r="CJ154" s="405"/>
      <c r="CK154" s="405"/>
      <c r="CL154" s="405"/>
      <c r="CM154" s="405"/>
      <c r="CN154" s="405"/>
      <c r="CO154" s="405"/>
      <c r="CP154" s="405"/>
      <c r="CQ154" s="405"/>
      <c r="CR154" s="405"/>
      <c r="CS154" s="405"/>
      <c r="CT154" s="405"/>
      <c r="CU154" s="405"/>
      <c r="CV154" s="405"/>
      <c r="CW154" s="405"/>
      <c r="CX154" s="405"/>
      <c r="CY154" s="405"/>
      <c r="CZ154" s="405"/>
      <c r="DA154" s="405"/>
      <c r="DB154" s="405"/>
      <c r="DC154" s="405"/>
      <c r="DD154" s="405"/>
      <c r="DE154" s="405"/>
      <c r="DF154" s="405"/>
      <c r="DG154" s="405"/>
      <c r="DH154" s="405"/>
      <c r="DI154" s="405"/>
      <c r="DJ154" s="405"/>
      <c r="DK154" s="405"/>
      <c r="DL154" s="405"/>
      <c r="DM154" s="405"/>
      <c r="DN154" s="405"/>
      <c r="DO154" s="405"/>
      <c r="DP154" s="405"/>
      <c r="DQ154" s="405"/>
      <c r="DR154" s="405"/>
      <c r="DS154" s="405"/>
      <c r="DT154" s="405"/>
      <c r="DU154" s="405"/>
      <c r="DV154" s="405"/>
      <c r="DW154" s="405"/>
      <c r="DX154" s="405"/>
      <c r="DY154" s="405"/>
      <c r="DZ154" s="405"/>
      <c r="EA154" s="405"/>
      <c r="EB154" s="405"/>
      <c r="EC154" s="405"/>
      <c r="ED154" s="405"/>
      <c r="EE154" s="405"/>
      <c r="EF154" s="405"/>
      <c r="EG154" s="405"/>
      <c r="EH154" s="405"/>
      <c r="EI154" s="405"/>
      <c r="EJ154" s="405"/>
      <c r="EK154" s="405"/>
      <c r="EL154" s="405"/>
      <c r="EM154" s="405"/>
      <c r="EN154" s="405"/>
    </row>
    <row r="155" spans="2:144" ht="15" customHeight="1" outlineLevel="1">
      <c r="B155" s="471"/>
      <c r="C155" s="471"/>
      <c r="D155" s="474"/>
      <c r="E155" s="474"/>
      <c r="F155" s="474"/>
      <c r="G155" s="474"/>
      <c r="H155" s="474"/>
      <c r="J155" s="474"/>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5"/>
      <c r="BO155" s="405"/>
      <c r="BP155" s="405"/>
      <c r="BQ155" s="405"/>
      <c r="BR155" s="405"/>
      <c r="BS155" s="405"/>
      <c r="BT155" s="405"/>
      <c r="BU155" s="405"/>
      <c r="BV155" s="405"/>
      <c r="BW155" s="405"/>
      <c r="BX155" s="405"/>
      <c r="BY155" s="405"/>
      <c r="BZ155" s="405"/>
      <c r="CA155" s="405"/>
      <c r="CB155" s="405"/>
      <c r="CC155" s="405"/>
      <c r="CD155" s="405"/>
      <c r="CE155" s="405"/>
      <c r="CF155" s="405"/>
      <c r="CG155" s="405"/>
      <c r="CH155" s="405"/>
      <c r="CI155" s="405"/>
      <c r="CJ155" s="405"/>
      <c r="CK155" s="405"/>
      <c r="CL155" s="405"/>
      <c r="CM155" s="405"/>
      <c r="CN155" s="405"/>
      <c r="CO155" s="405"/>
      <c r="CP155" s="405"/>
      <c r="CQ155" s="405"/>
      <c r="CR155" s="405"/>
      <c r="CS155" s="405"/>
      <c r="CT155" s="405"/>
      <c r="CU155" s="405"/>
      <c r="CV155" s="405"/>
      <c r="CW155" s="405"/>
      <c r="CX155" s="405"/>
      <c r="CY155" s="405"/>
      <c r="CZ155" s="405"/>
      <c r="DA155" s="405"/>
      <c r="DB155" s="405"/>
      <c r="DC155" s="405"/>
      <c r="DD155" s="405"/>
      <c r="DE155" s="405"/>
      <c r="DF155" s="405"/>
      <c r="DG155" s="405"/>
      <c r="DH155" s="405"/>
      <c r="DI155" s="405"/>
      <c r="DJ155" s="405"/>
      <c r="DK155" s="405"/>
      <c r="DL155" s="405"/>
      <c r="DM155" s="405"/>
      <c r="DN155" s="405"/>
      <c r="DO155" s="405"/>
      <c r="DP155" s="405"/>
      <c r="DQ155" s="405"/>
      <c r="DR155" s="405"/>
      <c r="DS155" s="405"/>
      <c r="DT155" s="405"/>
      <c r="DU155" s="405"/>
      <c r="DV155" s="405"/>
      <c r="DW155" s="405"/>
      <c r="DX155" s="405"/>
      <c r="DY155" s="405"/>
      <c r="DZ155" s="405"/>
      <c r="EA155" s="405"/>
      <c r="EB155" s="405"/>
      <c r="EC155" s="405"/>
      <c r="ED155" s="405"/>
      <c r="EE155" s="405"/>
      <c r="EF155" s="405"/>
      <c r="EG155" s="405"/>
      <c r="EH155" s="405"/>
      <c r="EI155" s="405"/>
      <c r="EJ155" s="405"/>
      <c r="EK155" s="405"/>
      <c r="EL155" s="405"/>
      <c r="EM155" s="405"/>
      <c r="EN155" s="405"/>
    </row>
    <row r="156" spans="2:144">
      <c r="B156" s="448" t="str">
        <f>VLOOKUP("Input_3c_Header",Hidden_Translations!$B$11:$J$1184,Hidden_Translations!$C$8,FALSE)</f>
        <v>#3c: Single drop transport (origin to destination)</v>
      </c>
      <c r="C156" s="459" t="str">
        <f>C139</f>
        <v>(only for global supply chains)</v>
      </c>
      <c r="D156" s="459"/>
      <c r="E156" s="459"/>
      <c r="F156" s="459"/>
      <c r="G156" s="459"/>
      <c r="H156" s="459"/>
      <c r="J156" s="474"/>
      <c r="U156" s="405"/>
      <c r="V156" s="405"/>
      <c r="W156" s="405"/>
      <c r="X156" s="405"/>
      <c r="Y156" s="405"/>
      <c r="Z156" s="405"/>
      <c r="AA156" s="405"/>
      <c r="AB156" s="405"/>
      <c r="AC156" s="405"/>
      <c r="AD156" s="405"/>
      <c r="AE156" s="405"/>
      <c r="AF156" s="405"/>
      <c r="AG156" s="405"/>
      <c r="AH156" s="405"/>
      <c r="AI156" s="405"/>
      <c r="AJ156" s="405"/>
      <c r="AK156" s="405"/>
      <c r="AL156" s="405"/>
      <c r="AM156" s="405"/>
      <c r="AN156" s="405"/>
      <c r="AO156" s="405"/>
      <c r="AP156" s="405"/>
      <c r="AQ156" s="405"/>
      <c r="AR156" s="405"/>
      <c r="AS156" s="405"/>
      <c r="AT156" s="405"/>
      <c r="AU156" s="405"/>
      <c r="AV156" s="405"/>
      <c r="AW156" s="405"/>
      <c r="AX156" s="405"/>
      <c r="AY156" s="405"/>
      <c r="AZ156" s="405"/>
      <c r="BA156" s="405"/>
      <c r="BB156" s="405"/>
      <c r="BC156" s="405"/>
      <c r="BD156" s="405"/>
      <c r="BE156" s="405"/>
      <c r="BF156" s="405"/>
      <c r="BG156" s="405"/>
      <c r="BH156" s="405"/>
      <c r="BI156" s="405"/>
      <c r="BJ156" s="405"/>
      <c r="BK156" s="405"/>
      <c r="BL156" s="405"/>
      <c r="BM156" s="405"/>
      <c r="BN156" s="405"/>
      <c r="BO156" s="405"/>
      <c r="BP156" s="405"/>
      <c r="BQ156" s="405"/>
      <c r="BR156" s="405"/>
      <c r="BS156" s="405"/>
      <c r="BT156" s="405"/>
      <c r="BU156" s="405"/>
      <c r="BV156" s="405"/>
      <c r="BW156" s="405"/>
      <c r="BX156" s="405"/>
      <c r="BY156" s="405"/>
      <c r="BZ156" s="405"/>
      <c r="CA156" s="405"/>
      <c r="CB156" s="405"/>
      <c r="CC156" s="405"/>
      <c r="CD156" s="405"/>
      <c r="CE156" s="405"/>
      <c r="CF156" s="405"/>
      <c r="CG156" s="405"/>
      <c r="CH156" s="405"/>
      <c r="CI156" s="405"/>
      <c r="CJ156" s="405"/>
      <c r="CK156" s="405"/>
      <c r="CL156" s="405"/>
      <c r="CM156" s="405"/>
      <c r="CN156" s="405"/>
      <c r="CO156" s="405"/>
      <c r="CP156" s="405"/>
      <c r="CQ156" s="405"/>
      <c r="CR156" s="405"/>
      <c r="CS156" s="405"/>
      <c r="CT156" s="405"/>
      <c r="CU156" s="405"/>
      <c r="CV156" s="405"/>
      <c r="CW156" s="405"/>
      <c r="CX156" s="405"/>
      <c r="CY156" s="405"/>
      <c r="CZ156" s="405"/>
      <c r="DA156" s="405"/>
      <c r="DB156" s="405"/>
      <c r="DC156" s="405"/>
      <c r="DD156" s="405"/>
      <c r="DE156" s="405"/>
      <c r="DF156" s="405"/>
      <c r="DG156" s="405"/>
      <c r="DH156" s="405"/>
      <c r="DI156" s="405"/>
      <c r="DJ156" s="405"/>
      <c r="DK156" s="405"/>
      <c r="DL156" s="405"/>
      <c r="DM156" s="405"/>
      <c r="DN156" s="405"/>
      <c r="DO156" s="405"/>
      <c r="DP156" s="405"/>
      <c r="DQ156" s="405"/>
      <c r="DR156" s="405"/>
      <c r="DS156" s="405"/>
      <c r="DT156" s="405"/>
      <c r="DU156" s="405"/>
      <c r="DV156" s="405"/>
      <c r="DW156" s="405"/>
      <c r="DX156" s="405"/>
      <c r="DY156" s="405"/>
      <c r="DZ156" s="405"/>
      <c r="EA156" s="405"/>
      <c r="EB156" s="405"/>
      <c r="EC156" s="405"/>
      <c r="ED156" s="405"/>
      <c r="EE156" s="405"/>
      <c r="EF156" s="405"/>
      <c r="EG156" s="405"/>
      <c r="EH156" s="405"/>
      <c r="EI156" s="405"/>
      <c r="EJ156" s="405"/>
      <c r="EK156" s="405"/>
      <c r="EL156" s="405"/>
      <c r="EM156" s="405"/>
      <c r="EN156" s="405"/>
    </row>
    <row r="157" spans="2:144" ht="15" customHeight="1">
      <c r="B157" s="471"/>
      <c r="C157" s="471"/>
      <c r="D157" s="474"/>
      <c r="E157" s="474"/>
      <c r="F157" s="474"/>
      <c r="G157" s="474"/>
      <c r="H157" s="474"/>
      <c r="J157" s="474"/>
      <c r="U157" s="405"/>
      <c r="V157" s="405"/>
      <c r="W157" s="405"/>
      <c r="X157" s="405"/>
      <c r="Y157" s="405"/>
      <c r="Z157" s="405"/>
      <c r="AA157" s="405"/>
      <c r="AB157" s="405"/>
      <c r="AC157" s="405"/>
      <c r="AD157" s="405"/>
      <c r="AE157" s="405"/>
      <c r="AF157" s="405"/>
      <c r="AG157" s="405"/>
      <c r="AH157" s="405"/>
      <c r="AI157" s="405"/>
      <c r="AJ157" s="405"/>
      <c r="AK157" s="405"/>
      <c r="AL157" s="405"/>
      <c r="AM157" s="405"/>
      <c r="AN157" s="405"/>
      <c r="AO157" s="405"/>
      <c r="AP157" s="405"/>
      <c r="AQ157" s="405"/>
      <c r="AR157" s="405"/>
      <c r="AS157" s="405"/>
      <c r="AT157" s="405"/>
      <c r="AU157" s="405"/>
      <c r="AV157" s="405"/>
      <c r="AW157" s="405"/>
      <c r="AX157" s="405"/>
      <c r="AY157" s="405"/>
      <c r="AZ157" s="405"/>
      <c r="BA157" s="405"/>
      <c r="BB157" s="405"/>
      <c r="BC157" s="405"/>
      <c r="BD157" s="405"/>
      <c r="BE157" s="405"/>
      <c r="BF157" s="405"/>
      <c r="BG157" s="405"/>
      <c r="BH157" s="405"/>
      <c r="BI157" s="405"/>
      <c r="BJ157" s="405"/>
      <c r="BK157" s="405"/>
      <c r="BL157" s="405"/>
      <c r="BM157" s="405"/>
      <c r="BN157" s="405"/>
      <c r="BO157" s="405"/>
      <c r="BP157" s="405"/>
      <c r="BQ157" s="405"/>
      <c r="BR157" s="405"/>
      <c r="BS157" s="405"/>
      <c r="BT157" s="405"/>
      <c r="BU157" s="405"/>
      <c r="BV157" s="405"/>
      <c r="BW157" s="405"/>
      <c r="BX157" s="405"/>
      <c r="BY157" s="405"/>
      <c r="BZ157" s="405"/>
      <c r="CA157" s="405"/>
      <c r="CB157" s="405"/>
      <c r="CC157" s="405"/>
      <c r="CD157" s="405"/>
      <c r="CE157" s="405"/>
      <c r="CF157" s="405"/>
      <c r="CG157" s="405"/>
      <c r="CH157" s="405"/>
      <c r="CI157" s="405"/>
      <c r="CJ157" s="405"/>
      <c r="CK157" s="405"/>
      <c r="CL157" s="405"/>
      <c r="CM157" s="405"/>
      <c r="CN157" s="405"/>
      <c r="CO157" s="405"/>
      <c r="CP157" s="405"/>
      <c r="CQ157" s="405"/>
      <c r="CR157" s="405"/>
      <c r="CS157" s="405"/>
      <c r="CT157" s="405"/>
      <c r="CU157" s="405"/>
      <c r="CV157" s="405"/>
      <c r="CW157" s="405"/>
      <c r="CX157" s="405"/>
      <c r="CY157" s="405"/>
      <c r="CZ157" s="405"/>
      <c r="DA157" s="405"/>
      <c r="DB157" s="405"/>
      <c r="DC157" s="405"/>
      <c r="DD157" s="405"/>
      <c r="DE157" s="405"/>
      <c r="DF157" s="405"/>
      <c r="DG157" s="405"/>
      <c r="DH157" s="405"/>
      <c r="DI157" s="405"/>
      <c r="DJ157" s="405"/>
      <c r="DK157" s="405"/>
      <c r="DL157" s="405"/>
      <c r="DM157" s="405"/>
      <c r="DN157" s="405"/>
      <c r="DO157" s="405"/>
      <c r="DP157" s="405"/>
      <c r="DQ157" s="405"/>
      <c r="DR157" s="405"/>
      <c r="DS157" s="405"/>
      <c r="DT157" s="405"/>
      <c r="DU157" s="405"/>
      <c r="DV157" s="405"/>
      <c r="DW157" s="405"/>
      <c r="DX157" s="405"/>
      <c r="DY157" s="405"/>
      <c r="DZ157" s="405"/>
      <c r="EA157" s="405"/>
      <c r="EB157" s="405"/>
      <c r="EC157" s="405"/>
      <c r="ED157" s="405"/>
      <c r="EE157" s="405"/>
      <c r="EF157" s="405"/>
      <c r="EG157" s="405"/>
      <c r="EH157" s="405"/>
      <c r="EI157" s="405"/>
      <c r="EJ157" s="405"/>
      <c r="EK157" s="405"/>
      <c r="EL157" s="405"/>
      <c r="EM157" s="405"/>
      <c r="EN157" s="405"/>
    </row>
    <row r="158" spans="2:144" outlineLevel="1">
      <c r="B158" s="471" t="str">
        <f>VLOOKUP("Input_3c_Header_Text",Hidden_Translations!$B$11:$J$1184,Hidden_Translations!$C$8,FALSE)</f>
        <v xml:space="preserve">This step for global supply chains only adresses the long distance transport by plane or ship from the storage location at the origin to the storage location at the destination. </v>
      </c>
      <c r="C158" s="471"/>
      <c r="D158" s="474"/>
      <c r="E158" s="474"/>
      <c r="F158" s="474"/>
      <c r="G158" s="474"/>
      <c r="H158" s="474"/>
      <c r="J158" s="474"/>
      <c r="U158" s="405"/>
      <c r="V158" s="405"/>
      <c r="W158" s="405"/>
      <c r="X158" s="405"/>
      <c r="Y158" s="405"/>
      <c r="Z158" s="405"/>
      <c r="AA158" s="405"/>
      <c r="AB158" s="405"/>
      <c r="AC158" s="405"/>
      <c r="AD158" s="405"/>
      <c r="AE158" s="405"/>
      <c r="AF158" s="405"/>
      <c r="AG158" s="405"/>
      <c r="AH158" s="405"/>
      <c r="AI158" s="405"/>
      <c r="AJ158" s="405"/>
      <c r="AK158" s="405"/>
      <c r="AL158" s="405"/>
      <c r="AM158" s="405"/>
      <c r="AN158" s="405"/>
      <c r="AO158" s="405"/>
      <c r="AP158" s="405"/>
      <c r="AQ158" s="405"/>
      <c r="AR158" s="405"/>
      <c r="AS158" s="405"/>
      <c r="AT158" s="405"/>
      <c r="AU158" s="405"/>
      <c r="AV158" s="405"/>
      <c r="AW158" s="405"/>
      <c r="AX158" s="405"/>
      <c r="AY158" s="405"/>
      <c r="AZ158" s="405"/>
      <c r="BA158" s="405"/>
      <c r="BB158" s="405"/>
      <c r="BC158" s="405"/>
      <c r="BD158" s="405"/>
      <c r="BE158" s="405"/>
      <c r="BF158" s="405"/>
      <c r="BG158" s="405"/>
      <c r="BH158" s="405"/>
      <c r="BI158" s="405"/>
      <c r="BJ158" s="405"/>
      <c r="BK158" s="405"/>
      <c r="BL158" s="405"/>
      <c r="BM158" s="405"/>
      <c r="BN158" s="405"/>
      <c r="BO158" s="405"/>
      <c r="BP158" s="405"/>
      <c r="BQ158" s="405"/>
      <c r="BR158" s="405"/>
      <c r="BS158" s="405"/>
      <c r="BT158" s="405"/>
      <c r="BU158" s="405"/>
      <c r="BV158" s="405"/>
      <c r="BW158" s="405"/>
      <c r="BX158" s="405"/>
      <c r="BY158" s="405"/>
      <c r="BZ158" s="405"/>
      <c r="CA158" s="405"/>
      <c r="CB158" s="405"/>
      <c r="CC158" s="405"/>
      <c r="CD158" s="405"/>
      <c r="CE158" s="405"/>
      <c r="CF158" s="405"/>
      <c r="CG158" s="405"/>
      <c r="CH158" s="405"/>
      <c r="CI158" s="405"/>
      <c r="CJ158" s="405"/>
      <c r="CK158" s="405"/>
      <c r="CL158" s="405"/>
      <c r="CM158" s="405"/>
      <c r="CN158" s="405"/>
      <c r="CO158" s="405"/>
      <c r="CP158" s="405"/>
      <c r="CQ158" s="405"/>
      <c r="CR158" s="405"/>
      <c r="CS158" s="405"/>
      <c r="CT158" s="405"/>
      <c r="CU158" s="405"/>
      <c r="CV158" s="405"/>
      <c r="CW158" s="405"/>
      <c r="CX158" s="405"/>
      <c r="CY158" s="405"/>
      <c r="CZ158" s="405"/>
      <c r="DA158" s="405"/>
      <c r="DB158" s="405"/>
      <c r="DC158" s="405"/>
      <c r="DD158" s="405"/>
      <c r="DE158" s="405"/>
      <c r="DF158" s="405"/>
      <c r="DG158" s="405"/>
      <c r="DH158" s="405"/>
      <c r="DI158" s="405"/>
      <c r="DJ158" s="405"/>
      <c r="DK158" s="405"/>
      <c r="DL158" s="405"/>
      <c r="DM158" s="405"/>
      <c r="DN158" s="405"/>
      <c r="DO158" s="405"/>
      <c r="DP158" s="405"/>
      <c r="DQ158" s="405"/>
      <c r="DR158" s="405"/>
      <c r="DS158" s="405"/>
      <c r="DT158" s="405"/>
      <c r="DU158" s="405"/>
      <c r="DV158" s="405"/>
      <c r="DW158" s="405"/>
      <c r="DX158" s="405"/>
      <c r="DY158" s="405"/>
      <c r="DZ158" s="405"/>
      <c r="EA158" s="405"/>
      <c r="EB158" s="405"/>
      <c r="EC158" s="405"/>
      <c r="ED158" s="405"/>
      <c r="EE158" s="405"/>
      <c r="EF158" s="405"/>
      <c r="EG158" s="405"/>
      <c r="EH158" s="405"/>
      <c r="EI158" s="405"/>
      <c r="EJ158" s="405"/>
      <c r="EK158" s="405"/>
      <c r="EL158" s="405"/>
      <c r="EM158" s="405"/>
      <c r="EN158" s="405"/>
    </row>
    <row r="159" spans="2:144" ht="15" customHeight="1" outlineLevel="1">
      <c r="B159" s="471"/>
      <c r="C159" s="471"/>
      <c r="D159" s="474"/>
      <c r="E159" s="474"/>
      <c r="F159" s="474"/>
      <c r="G159" s="474"/>
      <c r="H159" s="474"/>
      <c r="J159" s="474"/>
      <c r="U159" s="405"/>
      <c r="V159" s="405"/>
      <c r="W159" s="405"/>
      <c r="X159" s="405"/>
      <c r="Y159" s="405"/>
      <c r="Z159" s="405"/>
      <c r="AA159" s="405"/>
      <c r="AB159" s="405"/>
      <c r="AC159" s="405"/>
      <c r="AD159" s="405"/>
      <c r="AE159" s="405"/>
      <c r="AF159" s="405"/>
      <c r="AG159" s="405"/>
      <c r="AH159" s="405"/>
      <c r="AI159" s="405"/>
      <c r="AJ159" s="405"/>
      <c r="AK159" s="405"/>
      <c r="AL159" s="405"/>
      <c r="AM159" s="405"/>
      <c r="AN159" s="405"/>
      <c r="AO159" s="405"/>
      <c r="AP159" s="405"/>
      <c r="AQ159" s="405"/>
      <c r="AR159" s="405"/>
      <c r="AS159" s="405"/>
      <c r="AT159" s="405"/>
      <c r="AU159" s="405"/>
      <c r="AV159" s="405"/>
      <c r="AW159" s="405"/>
      <c r="AX159" s="405"/>
      <c r="AY159" s="405"/>
      <c r="AZ159" s="405"/>
      <c r="BA159" s="405"/>
      <c r="BB159" s="405"/>
      <c r="BC159" s="405"/>
      <c r="BD159" s="405"/>
      <c r="BE159" s="405"/>
      <c r="BF159" s="405"/>
      <c r="BG159" s="405"/>
      <c r="BH159" s="405"/>
      <c r="BI159" s="405"/>
      <c r="BJ159" s="405"/>
      <c r="BK159" s="405"/>
      <c r="BL159" s="405"/>
      <c r="BM159" s="405"/>
      <c r="BN159" s="405"/>
      <c r="BO159" s="405"/>
      <c r="BP159" s="405"/>
      <c r="BQ159" s="405"/>
      <c r="BR159" s="405"/>
      <c r="BS159" s="405"/>
      <c r="BT159" s="405"/>
      <c r="BU159" s="405"/>
      <c r="BV159" s="405"/>
      <c r="BW159" s="405"/>
      <c r="BX159" s="405"/>
      <c r="BY159" s="405"/>
      <c r="BZ159" s="405"/>
      <c r="CA159" s="405"/>
      <c r="CB159" s="405"/>
      <c r="CC159" s="405"/>
      <c r="CD159" s="405"/>
      <c r="CE159" s="405"/>
      <c r="CF159" s="405"/>
      <c r="CG159" s="405"/>
      <c r="CH159" s="405"/>
      <c r="CI159" s="405"/>
      <c r="CJ159" s="405"/>
      <c r="CK159" s="405"/>
      <c r="CL159" s="405"/>
      <c r="CM159" s="405"/>
      <c r="CN159" s="405"/>
      <c r="CO159" s="405"/>
      <c r="CP159" s="405"/>
      <c r="CQ159" s="405"/>
      <c r="CR159" s="405"/>
      <c r="CS159" s="405"/>
      <c r="CT159" s="405"/>
      <c r="CU159" s="405"/>
      <c r="CV159" s="405"/>
      <c r="CW159" s="405"/>
      <c r="CX159" s="405"/>
      <c r="CY159" s="405"/>
      <c r="CZ159" s="405"/>
      <c r="DA159" s="405"/>
      <c r="DB159" s="405"/>
      <c r="DC159" s="405"/>
      <c r="DD159" s="405"/>
      <c r="DE159" s="405"/>
      <c r="DF159" s="405"/>
      <c r="DG159" s="405"/>
      <c r="DH159" s="405"/>
      <c r="DI159" s="405"/>
      <c r="DJ159" s="405"/>
      <c r="DK159" s="405"/>
      <c r="DL159" s="405"/>
      <c r="DM159" s="405"/>
      <c r="DN159" s="405"/>
      <c r="DO159" s="405"/>
      <c r="DP159" s="405"/>
      <c r="DQ159" s="405"/>
      <c r="DR159" s="405"/>
      <c r="DS159" s="405"/>
      <c r="DT159" s="405"/>
      <c r="DU159" s="405"/>
      <c r="DV159" s="405"/>
      <c r="DW159" s="405"/>
      <c r="DX159" s="405"/>
      <c r="DY159" s="405"/>
      <c r="DZ159" s="405"/>
      <c r="EA159" s="405"/>
      <c r="EB159" s="405"/>
      <c r="EC159" s="405"/>
      <c r="ED159" s="405"/>
      <c r="EE159" s="405"/>
      <c r="EF159" s="405"/>
      <c r="EG159" s="405"/>
      <c r="EH159" s="405"/>
      <c r="EI159" s="405"/>
      <c r="EJ159" s="405"/>
      <c r="EK159" s="405"/>
      <c r="EL159" s="405"/>
      <c r="EM159" s="405"/>
      <c r="EN159" s="405"/>
    </row>
    <row r="160" spans="2:144" ht="15" customHeight="1" outlineLevel="1">
      <c r="B160" s="449"/>
      <c r="C160" s="453" t="str">
        <f>C60</f>
        <v>Vehicle 1</v>
      </c>
      <c r="D160" s="453" t="str">
        <f>D60</f>
        <v>Vehicle 2</v>
      </c>
      <c r="E160" s="453" t="str">
        <f>E60</f>
        <v>Vehicle 3</v>
      </c>
      <c r="F160" s="453" t="str">
        <f>F60</f>
        <v>Vehicle 4</v>
      </c>
      <c r="G160" s="453" t="str">
        <f>G60</f>
        <v>Vehicle 5</v>
      </c>
      <c r="H160" s="84"/>
      <c r="J160" s="474"/>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5"/>
      <c r="BO160" s="405"/>
      <c r="BP160" s="405"/>
      <c r="BQ160" s="405"/>
      <c r="BR160" s="405"/>
      <c r="BS160" s="405"/>
      <c r="BT160" s="405"/>
      <c r="BU160" s="405"/>
      <c r="BV160" s="405"/>
      <c r="BW160" s="405"/>
      <c r="BX160" s="405"/>
      <c r="BY160" s="405"/>
      <c r="BZ160" s="405"/>
      <c r="CA160" s="405"/>
      <c r="CB160" s="405"/>
      <c r="CC160" s="405"/>
      <c r="CD160" s="405"/>
      <c r="CE160" s="405"/>
      <c r="CF160" s="405"/>
      <c r="CG160" s="405"/>
      <c r="CH160" s="405"/>
      <c r="CI160" s="405"/>
      <c r="CJ160" s="405"/>
      <c r="CK160" s="405"/>
      <c r="CL160" s="405"/>
      <c r="CM160" s="405"/>
      <c r="CN160" s="405"/>
      <c r="CO160" s="405"/>
      <c r="CP160" s="405"/>
      <c r="CQ160" s="405"/>
      <c r="CR160" s="405"/>
      <c r="CS160" s="405"/>
      <c r="CT160" s="405"/>
      <c r="CU160" s="405"/>
      <c r="CV160" s="405"/>
      <c r="CW160" s="405"/>
      <c r="CX160" s="405"/>
      <c r="CY160" s="405"/>
      <c r="CZ160" s="405"/>
      <c r="DA160" s="405"/>
      <c r="DB160" s="405"/>
      <c r="DC160" s="405"/>
      <c r="DD160" s="405"/>
      <c r="DE160" s="405"/>
      <c r="DF160" s="405"/>
      <c r="DG160" s="405"/>
      <c r="DH160" s="405"/>
      <c r="DI160" s="405"/>
      <c r="DJ160" s="405"/>
      <c r="DK160" s="405"/>
      <c r="DL160" s="405"/>
      <c r="DM160" s="405"/>
      <c r="DN160" s="405"/>
      <c r="DO160" s="405"/>
      <c r="DP160" s="405"/>
      <c r="DQ160" s="405"/>
      <c r="DR160" s="405"/>
      <c r="DS160" s="405"/>
      <c r="DT160" s="405"/>
      <c r="DU160" s="405"/>
      <c r="DV160" s="405"/>
      <c r="DW160" s="405"/>
      <c r="DX160" s="405"/>
      <c r="DY160" s="405"/>
      <c r="DZ160" s="405"/>
      <c r="EA160" s="405"/>
      <c r="EB160" s="405"/>
      <c r="EC160" s="405"/>
      <c r="ED160" s="405"/>
      <c r="EE160" s="405"/>
      <c r="EF160" s="405"/>
      <c r="EG160" s="405"/>
      <c r="EH160" s="405"/>
      <c r="EI160" s="405"/>
      <c r="EJ160" s="405"/>
      <c r="EK160" s="405"/>
      <c r="EL160" s="405"/>
      <c r="EM160" s="405"/>
      <c r="EN160" s="405"/>
    </row>
    <row r="161" spans="2:144" ht="30" customHeight="1" outlineLevel="1">
      <c r="B161" s="420" t="str">
        <f>B61</f>
        <v>Type of vehicle</v>
      </c>
      <c r="C161" s="253" t="s">
        <v>249</v>
      </c>
      <c r="D161" s="253" t="s">
        <v>249</v>
      </c>
      <c r="E161" s="253" t="s">
        <v>249</v>
      </c>
      <c r="F161" s="253" t="s">
        <v>249</v>
      </c>
      <c r="G161" s="253" t="s">
        <v>249</v>
      </c>
      <c r="H161" s="420" t="str">
        <f>H61</f>
        <v>[Selection]</v>
      </c>
      <c r="J161" s="474"/>
      <c r="U161" s="405"/>
      <c r="V161" s="405"/>
      <c r="W161" s="405"/>
      <c r="X161" s="405"/>
      <c r="Y161" s="405"/>
      <c r="Z161" s="405"/>
      <c r="AA161" s="405"/>
      <c r="AB161" s="405"/>
      <c r="AC161" s="405"/>
      <c r="AD161" s="405"/>
      <c r="AE161" s="405"/>
      <c r="AF161" s="405"/>
      <c r="AG161" s="405"/>
      <c r="AH161" s="405"/>
      <c r="AI161" s="405"/>
      <c r="AJ161" s="405"/>
      <c r="AK161" s="405"/>
      <c r="AL161" s="405"/>
      <c r="AM161" s="405"/>
      <c r="AN161" s="405"/>
      <c r="AO161" s="405"/>
      <c r="AP161" s="405"/>
      <c r="AQ161" s="405"/>
      <c r="AR161" s="405"/>
      <c r="AS161" s="405"/>
      <c r="AT161" s="405"/>
      <c r="AU161" s="405"/>
      <c r="AV161" s="405"/>
      <c r="AW161" s="405"/>
      <c r="AX161" s="405"/>
      <c r="AY161" s="405"/>
      <c r="AZ161" s="405"/>
      <c r="BA161" s="405"/>
      <c r="BB161" s="405"/>
      <c r="BC161" s="405"/>
      <c r="BD161" s="405"/>
      <c r="BE161" s="405"/>
      <c r="BF161" s="405"/>
      <c r="BG161" s="405"/>
      <c r="BH161" s="405"/>
      <c r="BI161" s="405"/>
      <c r="BJ161" s="405"/>
      <c r="BK161" s="405"/>
      <c r="BL161" s="405"/>
      <c r="BM161" s="405"/>
      <c r="BN161" s="405"/>
      <c r="BO161" s="405"/>
      <c r="BP161" s="405"/>
      <c r="BQ161" s="405"/>
      <c r="BR161" s="405"/>
      <c r="BS161" s="405"/>
      <c r="BT161" s="405"/>
      <c r="BU161" s="405"/>
      <c r="BV161" s="405"/>
      <c r="BW161" s="405"/>
      <c r="BX161" s="405"/>
      <c r="BY161" s="405"/>
      <c r="BZ161" s="405"/>
      <c r="CA161" s="405"/>
      <c r="CB161" s="405"/>
      <c r="CC161" s="405"/>
      <c r="CD161" s="405"/>
      <c r="CE161" s="405"/>
      <c r="CF161" s="405"/>
      <c r="CG161" s="405"/>
      <c r="CH161" s="405"/>
      <c r="CI161" s="405"/>
      <c r="CJ161" s="405"/>
      <c r="CK161" s="405"/>
      <c r="CL161" s="405"/>
      <c r="CM161" s="405"/>
      <c r="CN161" s="405"/>
      <c r="CO161" s="405"/>
      <c r="CP161" s="405"/>
      <c r="CQ161" s="405"/>
      <c r="CR161" s="405"/>
      <c r="CS161" s="405"/>
      <c r="CT161" s="405"/>
      <c r="CU161" s="405"/>
      <c r="CV161" s="405"/>
      <c r="CW161" s="405"/>
      <c r="CX161" s="405"/>
      <c r="CY161" s="405"/>
      <c r="CZ161" s="405"/>
      <c r="DA161" s="405"/>
      <c r="DB161" s="405"/>
      <c r="DC161" s="405"/>
      <c r="DD161" s="405"/>
      <c r="DE161" s="405"/>
      <c r="DF161" s="405"/>
      <c r="DG161" s="405"/>
      <c r="DH161" s="405"/>
      <c r="DI161" s="405"/>
      <c r="DJ161" s="405"/>
      <c r="DK161" s="405"/>
      <c r="DL161" s="405"/>
      <c r="DM161" s="405"/>
      <c r="DN161" s="405"/>
      <c r="DO161" s="405"/>
      <c r="DP161" s="405"/>
      <c r="DQ161" s="405"/>
      <c r="DR161" s="405"/>
      <c r="DS161" s="405"/>
      <c r="DT161" s="405"/>
      <c r="DU161" s="405"/>
      <c r="DV161" s="405"/>
      <c r="DW161" s="405"/>
      <c r="DX161" s="405"/>
      <c r="DY161" s="405"/>
      <c r="DZ161" s="405"/>
      <c r="EA161" s="405"/>
      <c r="EB161" s="405"/>
      <c r="EC161" s="405"/>
      <c r="ED161" s="405"/>
      <c r="EE161" s="405"/>
      <c r="EF161" s="405"/>
      <c r="EG161" s="405"/>
      <c r="EH161" s="405"/>
      <c r="EI161" s="405"/>
      <c r="EJ161" s="405"/>
      <c r="EK161" s="405"/>
      <c r="EL161" s="405"/>
      <c r="EM161" s="405"/>
      <c r="EN161" s="405"/>
    </row>
    <row r="162" spans="2:144" ht="15" customHeight="1" outlineLevel="1">
      <c r="B162" s="411" t="str">
        <f>B62</f>
        <v>Distance</v>
      </c>
      <c r="C162" s="359">
        <v>0</v>
      </c>
      <c r="D162" s="359">
        <v>0</v>
      </c>
      <c r="E162" s="359">
        <v>0</v>
      </c>
      <c r="F162" s="359">
        <v>0</v>
      </c>
      <c r="G162" s="359">
        <v>0</v>
      </c>
      <c r="H162" s="411" t="str">
        <f>H62</f>
        <v>[km]</v>
      </c>
      <c r="J162" s="474"/>
      <c r="U162" s="405"/>
      <c r="V162" s="405"/>
      <c r="W162" s="405"/>
      <c r="X162" s="405"/>
      <c r="Y162" s="405"/>
      <c r="Z162" s="405"/>
      <c r="AA162" s="405"/>
      <c r="AB162" s="405"/>
      <c r="AC162" s="405"/>
      <c r="AD162" s="405"/>
      <c r="AE162" s="405"/>
      <c r="AF162" s="405"/>
      <c r="AG162" s="405"/>
      <c r="AH162" s="405"/>
      <c r="AI162" s="405"/>
      <c r="AJ162" s="405"/>
      <c r="AK162" s="405"/>
      <c r="AL162" s="405"/>
      <c r="AM162" s="405"/>
      <c r="AN162" s="405"/>
      <c r="AO162" s="405"/>
      <c r="AP162" s="405"/>
      <c r="AQ162" s="405"/>
      <c r="AR162" s="405"/>
      <c r="AS162" s="405"/>
      <c r="AT162" s="405"/>
      <c r="AU162" s="405"/>
      <c r="AV162" s="405"/>
      <c r="AW162" s="405"/>
      <c r="AX162" s="405"/>
      <c r="AY162" s="405"/>
      <c r="AZ162" s="405"/>
      <c r="BA162" s="405"/>
      <c r="BB162" s="405"/>
      <c r="BC162" s="405"/>
      <c r="BD162" s="405"/>
      <c r="BE162" s="405"/>
      <c r="BF162" s="405"/>
      <c r="BG162" s="405"/>
      <c r="BH162" s="405"/>
      <c r="BI162" s="405"/>
      <c r="BJ162" s="405"/>
      <c r="BK162" s="405"/>
      <c r="BL162" s="405"/>
      <c r="BM162" s="405"/>
      <c r="BN162" s="405"/>
      <c r="BO162" s="405"/>
      <c r="BP162" s="405"/>
      <c r="BQ162" s="405"/>
      <c r="BR162" s="405"/>
      <c r="BS162" s="405"/>
      <c r="BT162" s="405"/>
      <c r="BU162" s="405"/>
      <c r="BV162" s="405"/>
      <c r="BW162" s="405"/>
      <c r="BX162" s="405"/>
      <c r="BY162" s="405"/>
      <c r="BZ162" s="405"/>
      <c r="CA162" s="405"/>
      <c r="CB162" s="405"/>
      <c r="CC162" s="405"/>
      <c r="CD162" s="405"/>
      <c r="CE162" s="405"/>
      <c r="CF162" s="405"/>
      <c r="CG162" s="405"/>
      <c r="CH162" s="405"/>
      <c r="CI162" s="405"/>
      <c r="CJ162" s="405"/>
      <c r="CK162" s="405"/>
      <c r="CL162" s="405"/>
      <c r="CM162" s="405"/>
      <c r="CN162" s="405"/>
      <c r="CO162" s="405"/>
      <c r="CP162" s="405"/>
      <c r="CQ162" s="405"/>
      <c r="CR162" s="405"/>
      <c r="CS162" s="405"/>
      <c r="CT162" s="405"/>
      <c r="CU162" s="405"/>
      <c r="CV162" s="405"/>
      <c r="CW162" s="405"/>
      <c r="CX162" s="405"/>
      <c r="CY162" s="405"/>
      <c r="CZ162" s="405"/>
      <c r="DA162" s="405"/>
      <c r="DB162" s="405"/>
      <c r="DC162" s="405"/>
      <c r="DD162" s="405"/>
      <c r="DE162" s="405"/>
      <c r="DF162" s="405"/>
      <c r="DG162" s="405"/>
      <c r="DH162" s="405"/>
      <c r="DI162" s="405"/>
      <c r="DJ162" s="405"/>
      <c r="DK162" s="405"/>
      <c r="DL162" s="405"/>
      <c r="DM162" s="405"/>
      <c r="DN162" s="405"/>
      <c r="DO162" s="405"/>
      <c r="DP162" s="405"/>
      <c r="DQ162" s="405"/>
      <c r="DR162" s="405"/>
      <c r="DS162" s="405"/>
      <c r="DT162" s="405"/>
      <c r="DU162" s="405"/>
      <c r="DV162" s="405"/>
      <c r="DW162" s="405"/>
      <c r="DX162" s="405"/>
      <c r="DY162" s="405"/>
      <c r="DZ162" s="405"/>
      <c r="EA162" s="405"/>
      <c r="EB162" s="405"/>
      <c r="EC162" s="405"/>
      <c r="ED162" s="405"/>
      <c r="EE162" s="405"/>
      <c r="EF162" s="405"/>
      <c r="EG162" s="405"/>
      <c r="EH162" s="405"/>
      <c r="EI162" s="405"/>
      <c r="EJ162" s="405"/>
      <c r="EK162" s="405"/>
      <c r="EL162" s="405"/>
      <c r="EM162" s="405"/>
      <c r="EN162" s="405"/>
    </row>
    <row r="163" spans="2:144" ht="15" customHeight="1" outlineLevel="1">
      <c r="B163" s="420" t="str">
        <f>B64</f>
        <v>Amount of transported raw material</v>
      </c>
      <c r="C163" s="359">
        <v>0</v>
      </c>
      <c r="D163" s="359">
        <v>0</v>
      </c>
      <c r="E163" s="359">
        <v>0</v>
      </c>
      <c r="F163" s="359">
        <v>0</v>
      </c>
      <c r="G163" s="454">
        <f>+F91-SUM(C163:F163)</f>
        <v>0</v>
      </c>
      <c r="H163" s="420" t="str">
        <f>H64</f>
        <v>[kg]</v>
      </c>
      <c r="J163" s="474"/>
      <c r="U163" s="405"/>
      <c r="V163" s="405"/>
      <c r="W163" s="405"/>
      <c r="X163" s="405"/>
      <c r="Y163" s="405"/>
      <c r="Z163" s="405"/>
      <c r="AA163" s="405"/>
      <c r="AB163" s="405"/>
      <c r="AC163" s="405"/>
      <c r="AD163" s="405"/>
      <c r="AE163" s="405"/>
      <c r="AF163" s="405"/>
      <c r="AG163" s="405"/>
      <c r="AH163" s="405"/>
      <c r="AI163" s="405"/>
      <c r="AJ163" s="405"/>
      <c r="AK163" s="405"/>
      <c r="AL163" s="405"/>
      <c r="AM163" s="405"/>
      <c r="AN163" s="405"/>
      <c r="AO163" s="405"/>
      <c r="AP163" s="405"/>
      <c r="AQ163" s="405"/>
      <c r="AR163" s="405"/>
      <c r="AS163" s="405"/>
      <c r="AT163" s="405"/>
      <c r="AU163" s="405"/>
      <c r="AV163" s="405"/>
      <c r="AW163" s="405"/>
      <c r="AX163" s="405"/>
      <c r="AY163" s="405"/>
      <c r="AZ163" s="405"/>
      <c r="BA163" s="405"/>
      <c r="BB163" s="405"/>
      <c r="BC163" s="405"/>
      <c r="BD163" s="405"/>
      <c r="BE163" s="405"/>
      <c r="BF163" s="405"/>
      <c r="BG163" s="405"/>
      <c r="BH163" s="405"/>
      <c r="BI163" s="405"/>
      <c r="BJ163" s="405"/>
      <c r="BK163" s="405"/>
      <c r="BL163" s="405"/>
      <c r="BM163" s="405"/>
      <c r="BN163" s="405"/>
      <c r="BO163" s="405"/>
      <c r="BP163" s="405"/>
      <c r="BQ163" s="405"/>
      <c r="BR163" s="405"/>
      <c r="BS163" s="405"/>
      <c r="BT163" s="405"/>
      <c r="BU163" s="405"/>
      <c r="BV163" s="405"/>
      <c r="BW163" s="405"/>
      <c r="BX163" s="405"/>
      <c r="BY163" s="405"/>
      <c r="BZ163" s="405"/>
      <c r="CA163" s="405"/>
      <c r="CB163" s="405"/>
      <c r="CC163" s="405"/>
      <c r="CD163" s="405"/>
      <c r="CE163" s="405"/>
      <c r="CF163" s="405"/>
      <c r="CG163" s="405"/>
      <c r="CH163" s="405"/>
      <c r="CI163" s="405"/>
      <c r="CJ163" s="405"/>
      <c r="CK163" s="405"/>
      <c r="CL163" s="405"/>
      <c r="CM163" s="405"/>
      <c r="CN163" s="405"/>
      <c r="CO163" s="405"/>
      <c r="CP163" s="405"/>
      <c r="CQ163" s="405"/>
      <c r="CR163" s="405"/>
      <c r="CS163" s="405"/>
      <c r="CT163" s="405"/>
      <c r="CU163" s="405"/>
      <c r="CV163" s="405"/>
      <c r="CW163" s="405"/>
      <c r="CX163" s="405"/>
      <c r="CY163" s="405"/>
      <c r="CZ163" s="405"/>
      <c r="DA163" s="405"/>
      <c r="DB163" s="405"/>
      <c r="DC163" s="405"/>
      <c r="DD163" s="405"/>
      <c r="DE163" s="405"/>
      <c r="DF163" s="405"/>
      <c r="DG163" s="405"/>
      <c r="DH163" s="405"/>
      <c r="DI163" s="405"/>
      <c r="DJ163" s="405"/>
      <c r="DK163" s="405"/>
      <c r="DL163" s="405"/>
      <c r="DM163" s="405"/>
      <c r="DN163" s="405"/>
      <c r="DO163" s="405"/>
      <c r="DP163" s="405"/>
      <c r="DQ163" s="405"/>
      <c r="DR163" s="405"/>
      <c r="DS163" s="405"/>
      <c r="DT163" s="405"/>
      <c r="DU163" s="405"/>
      <c r="DV163" s="405"/>
      <c r="DW163" s="405"/>
      <c r="DX163" s="405"/>
      <c r="DY163" s="405"/>
      <c r="DZ163" s="405"/>
      <c r="EA163" s="405"/>
      <c r="EB163" s="405"/>
      <c r="EC163" s="405"/>
      <c r="ED163" s="405"/>
      <c r="EE163" s="405"/>
      <c r="EF163" s="405"/>
      <c r="EG163" s="405"/>
      <c r="EH163" s="405"/>
      <c r="EI163" s="405"/>
      <c r="EJ163" s="405"/>
      <c r="EK163" s="405"/>
      <c r="EL163" s="405"/>
      <c r="EM163" s="405"/>
      <c r="EN163" s="405"/>
    </row>
    <row r="164" spans="2:144" ht="15" customHeight="1" outlineLevel="1">
      <c r="B164" s="471"/>
      <c r="C164" s="471"/>
      <c r="D164" s="474"/>
      <c r="E164" s="474"/>
      <c r="F164" s="474"/>
      <c r="G164" s="474"/>
      <c r="H164" s="474"/>
      <c r="J164" s="474"/>
      <c r="U164" s="405"/>
      <c r="V164" s="405"/>
      <c r="W164" s="405"/>
      <c r="X164" s="405"/>
      <c r="Y164" s="405"/>
      <c r="Z164" s="405"/>
      <c r="AA164" s="405"/>
      <c r="AB164" s="405"/>
      <c r="AC164" s="405"/>
      <c r="AD164" s="405"/>
      <c r="AE164" s="405"/>
      <c r="AF164" s="405"/>
      <c r="AG164" s="405"/>
      <c r="AH164" s="405"/>
      <c r="AI164" s="405"/>
      <c r="AJ164" s="405"/>
      <c r="AK164" s="405"/>
      <c r="AL164" s="405"/>
      <c r="AM164" s="405"/>
      <c r="AN164" s="405"/>
      <c r="AO164" s="405"/>
      <c r="AP164" s="405"/>
      <c r="AQ164" s="405"/>
      <c r="AR164" s="405"/>
      <c r="AS164" s="405"/>
      <c r="AT164" s="405"/>
      <c r="AU164" s="405"/>
      <c r="AV164" s="405"/>
      <c r="AW164" s="405"/>
      <c r="AX164" s="405"/>
      <c r="AY164" s="405"/>
      <c r="AZ164" s="405"/>
      <c r="BA164" s="405"/>
      <c r="BB164" s="405"/>
      <c r="BC164" s="405"/>
      <c r="BD164" s="405"/>
      <c r="BE164" s="405"/>
      <c r="BF164" s="405"/>
      <c r="BG164" s="405"/>
      <c r="BH164" s="405"/>
      <c r="BI164" s="405"/>
      <c r="BJ164" s="405"/>
      <c r="BK164" s="405"/>
      <c r="BL164" s="405"/>
      <c r="BM164" s="405"/>
      <c r="BN164" s="405"/>
      <c r="BO164" s="405"/>
      <c r="BP164" s="405"/>
      <c r="BQ164" s="405"/>
      <c r="BR164" s="405"/>
      <c r="BS164" s="405"/>
      <c r="BT164" s="405"/>
      <c r="BU164" s="405"/>
      <c r="BV164" s="405"/>
      <c r="BW164" s="405"/>
      <c r="BX164" s="405"/>
      <c r="BY164" s="405"/>
      <c r="BZ164" s="405"/>
      <c r="CA164" s="405"/>
      <c r="CB164" s="405"/>
      <c r="CC164" s="405"/>
      <c r="CD164" s="405"/>
      <c r="CE164" s="405"/>
      <c r="CF164" s="405"/>
      <c r="CG164" s="405"/>
      <c r="CH164" s="405"/>
      <c r="CI164" s="405"/>
      <c r="CJ164" s="405"/>
      <c r="CK164" s="405"/>
      <c r="CL164" s="405"/>
      <c r="CM164" s="405"/>
      <c r="CN164" s="405"/>
      <c r="CO164" s="405"/>
      <c r="CP164" s="405"/>
      <c r="CQ164" s="405"/>
      <c r="CR164" s="405"/>
      <c r="CS164" s="405"/>
      <c r="CT164" s="405"/>
      <c r="CU164" s="405"/>
      <c r="CV164" s="405"/>
      <c r="CW164" s="405"/>
      <c r="CX164" s="405"/>
      <c r="CY164" s="405"/>
      <c r="CZ164" s="405"/>
      <c r="DA164" s="405"/>
      <c r="DB164" s="405"/>
      <c r="DC164" s="405"/>
      <c r="DD164" s="405"/>
      <c r="DE164" s="405"/>
      <c r="DF164" s="405"/>
      <c r="DG164" s="405"/>
      <c r="DH164" s="405"/>
      <c r="DI164" s="405"/>
      <c r="DJ164" s="405"/>
      <c r="DK164" s="405"/>
      <c r="DL164" s="405"/>
      <c r="DM164" s="405"/>
      <c r="DN164" s="405"/>
      <c r="DO164" s="405"/>
      <c r="DP164" s="405"/>
      <c r="DQ164" s="405"/>
      <c r="DR164" s="405"/>
      <c r="DS164" s="405"/>
      <c r="DT164" s="405"/>
      <c r="DU164" s="405"/>
      <c r="DV164" s="405"/>
      <c r="DW164" s="405"/>
      <c r="DX164" s="405"/>
      <c r="DY164" s="405"/>
      <c r="DZ164" s="405"/>
      <c r="EA164" s="405"/>
      <c r="EB164" s="405"/>
      <c r="EC164" s="405"/>
      <c r="ED164" s="405"/>
      <c r="EE164" s="405"/>
      <c r="EF164" s="405"/>
      <c r="EG164" s="405"/>
      <c r="EH164" s="405"/>
      <c r="EI164" s="405"/>
      <c r="EJ164" s="405"/>
      <c r="EK164" s="405"/>
      <c r="EL164" s="405"/>
      <c r="EM164" s="405"/>
      <c r="EN164" s="405"/>
    </row>
    <row r="165" spans="2:144" ht="15" customHeight="1" outlineLevel="1">
      <c r="B165" s="420" t="str">
        <f>B151</f>
        <v>Water consumption per year</v>
      </c>
      <c r="C165" s="420"/>
      <c r="D165" s="420"/>
      <c r="E165" s="420"/>
      <c r="F165" s="258">
        <v>0</v>
      </c>
      <c r="G165" s="420" t="str">
        <f>G137</f>
        <v>[m³]</v>
      </c>
      <c r="H165" s="420"/>
      <c r="J165" s="474"/>
      <c r="U165" s="405"/>
      <c r="V165" s="405"/>
      <c r="W165" s="405"/>
      <c r="X165" s="405"/>
      <c r="Y165" s="405"/>
      <c r="Z165" s="405"/>
      <c r="AA165" s="405"/>
      <c r="AB165" s="405"/>
      <c r="AC165" s="405"/>
      <c r="AD165" s="405"/>
      <c r="AE165" s="405"/>
      <c r="AF165" s="405"/>
      <c r="AG165" s="405"/>
      <c r="AH165" s="405"/>
      <c r="AI165" s="405"/>
      <c r="AJ165" s="405"/>
      <c r="AK165" s="405"/>
      <c r="AL165" s="405"/>
      <c r="AM165" s="405"/>
      <c r="AN165" s="405"/>
      <c r="AO165" s="405"/>
      <c r="AP165" s="405"/>
      <c r="AQ165" s="405"/>
      <c r="AR165" s="405"/>
      <c r="AS165" s="405"/>
      <c r="AT165" s="405"/>
      <c r="AU165" s="405"/>
      <c r="AV165" s="405"/>
      <c r="AW165" s="405"/>
      <c r="AX165" s="405"/>
      <c r="AY165" s="405"/>
      <c r="AZ165" s="405"/>
      <c r="BA165" s="405"/>
      <c r="BB165" s="405"/>
      <c r="BC165" s="405"/>
      <c r="BD165" s="405"/>
      <c r="BE165" s="405"/>
      <c r="BF165" s="405"/>
      <c r="BG165" s="405"/>
      <c r="BH165" s="405"/>
      <c r="BI165" s="405"/>
      <c r="BJ165" s="405"/>
      <c r="BK165" s="405"/>
      <c r="BL165" s="405"/>
      <c r="BM165" s="405"/>
      <c r="BN165" s="405"/>
      <c r="BO165" s="405"/>
      <c r="BP165" s="405"/>
      <c r="BQ165" s="405"/>
      <c r="BR165" s="405"/>
      <c r="BS165" s="405"/>
      <c r="BT165" s="405"/>
      <c r="BU165" s="405"/>
      <c r="BV165" s="405"/>
      <c r="BW165" s="405"/>
      <c r="BX165" s="405"/>
      <c r="BY165" s="405"/>
      <c r="BZ165" s="405"/>
      <c r="CA165" s="405"/>
      <c r="CB165" s="405"/>
      <c r="CC165" s="405"/>
      <c r="CD165" s="405"/>
      <c r="CE165" s="405"/>
      <c r="CF165" s="405"/>
      <c r="CG165" s="405"/>
      <c r="CH165" s="405"/>
      <c r="CI165" s="405"/>
      <c r="CJ165" s="405"/>
      <c r="CK165" s="405"/>
      <c r="CL165" s="405"/>
      <c r="CM165" s="405"/>
      <c r="CN165" s="405"/>
      <c r="CO165" s="405"/>
      <c r="CP165" s="405"/>
      <c r="CQ165" s="405"/>
      <c r="CR165" s="405"/>
      <c r="CS165" s="405"/>
      <c r="CT165" s="405"/>
      <c r="CU165" s="405"/>
      <c r="CV165" s="405"/>
      <c r="CW165" s="405"/>
      <c r="CX165" s="405"/>
      <c r="CY165" s="405"/>
      <c r="CZ165" s="405"/>
      <c r="DA165" s="405"/>
      <c r="DB165" s="405"/>
      <c r="DC165" s="405"/>
      <c r="DD165" s="405"/>
      <c r="DE165" s="405"/>
      <c r="DF165" s="405"/>
      <c r="DG165" s="405"/>
      <c r="DH165" s="405"/>
      <c r="DI165" s="405"/>
      <c r="DJ165" s="405"/>
      <c r="DK165" s="405"/>
      <c r="DL165" s="405"/>
      <c r="DM165" s="405"/>
      <c r="DN165" s="405"/>
      <c r="DO165" s="405"/>
      <c r="DP165" s="405"/>
      <c r="DQ165" s="405"/>
      <c r="DR165" s="405"/>
      <c r="DS165" s="405"/>
      <c r="DT165" s="405"/>
      <c r="DU165" s="405"/>
      <c r="DV165" s="405"/>
      <c r="DW165" s="405"/>
      <c r="DX165" s="405"/>
      <c r="DY165" s="405"/>
      <c r="DZ165" s="405"/>
      <c r="EA165" s="405"/>
      <c r="EB165" s="405"/>
      <c r="EC165" s="405"/>
      <c r="ED165" s="405"/>
      <c r="EE165" s="405"/>
      <c r="EF165" s="405"/>
      <c r="EG165" s="405"/>
      <c r="EH165" s="405"/>
      <c r="EI165" s="405"/>
      <c r="EJ165" s="405"/>
      <c r="EK165" s="405"/>
      <c r="EL165" s="405"/>
      <c r="EM165" s="405"/>
      <c r="EN165" s="405"/>
    </row>
    <row r="166" spans="2:144" ht="15" customHeight="1" outlineLevel="1">
      <c r="B166" s="471"/>
      <c r="C166" s="471"/>
      <c r="D166" s="471"/>
      <c r="E166" s="474"/>
      <c r="F166" s="474"/>
      <c r="G166" s="474"/>
      <c r="H166" s="474"/>
      <c r="J166" s="474"/>
      <c r="U166" s="405"/>
      <c r="V166" s="405"/>
      <c r="W166" s="405"/>
      <c r="X166" s="405"/>
      <c r="Y166" s="405"/>
      <c r="Z166" s="405"/>
      <c r="AA166" s="405"/>
      <c r="AB166" s="405"/>
      <c r="AC166" s="405"/>
      <c r="AD166" s="405"/>
      <c r="AE166" s="405"/>
      <c r="AF166" s="405"/>
      <c r="AG166" s="405"/>
      <c r="AH166" s="405"/>
      <c r="AI166" s="405"/>
      <c r="AJ166" s="405"/>
      <c r="AK166" s="405"/>
      <c r="AL166" s="405"/>
      <c r="AM166" s="405"/>
      <c r="AN166" s="405"/>
      <c r="AO166" s="405"/>
      <c r="AP166" s="405"/>
      <c r="AQ166" s="405"/>
      <c r="AR166" s="405"/>
      <c r="AS166" s="405"/>
      <c r="AT166" s="405"/>
      <c r="AU166" s="405"/>
      <c r="AV166" s="405"/>
      <c r="AW166" s="405"/>
      <c r="AX166" s="405"/>
      <c r="AY166" s="405"/>
      <c r="AZ166" s="405"/>
      <c r="BA166" s="405"/>
      <c r="BB166" s="405"/>
      <c r="BC166" s="405"/>
      <c r="BD166" s="405"/>
      <c r="BE166" s="405"/>
      <c r="BF166" s="405"/>
      <c r="BG166" s="405"/>
      <c r="BH166" s="405"/>
      <c r="BI166" s="405"/>
      <c r="BJ166" s="405"/>
      <c r="BK166" s="405"/>
      <c r="BL166" s="405"/>
      <c r="BM166" s="405"/>
      <c r="BN166" s="405"/>
      <c r="BO166" s="405"/>
      <c r="BP166" s="405"/>
      <c r="BQ166" s="405"/>
      <c r="BR166" s="405"/>
      <c r="BS166" s="405"/>
      <c r="BT166" s="405"/>
      <c r="BU166" s="405"/>
      <c r="BV166" s="405"/>
      <c r="BW166" s="405"/>
      <c r="BX166" s="405"/>
      <c r="BY166" s="405"/>
      <c r="BZ166" s="405"/>
      <c r="CA166" s="405"/>
      <c r="CB166" s="405"/>
      <c r="CC166" s="405"/>
      <c r="CD166" s="405"/>
      <c r="CE166" s="405"/>
      <c r="CF166" s="405"/>
      <c r="CG166" s="405"/>
      <c r="CH166" s="405"/>
      <c r="CI166" s="405"/>
      <c r="CJ166" s="405"/>
      <c r="CK166" s="405"/>
      <c r="CL166" s="405"/>
      <c r="CM166" s="405"/>
      <c r="CN166" s="405"/>
      <c r="CO166" s="405"/>
      <c r="CP166" s="405"/>
      <c r="CQ166" s="405"/>
      <c r="CR166" s="405"/>
      <c r="CS166" s="405"/>
      <c r="CT166" s="405"/>
      <c r="CU166" s="405"/>
      <c r="CV166" s="405"/>
      <c r="CW166" s="405"/>
      <c r="CX166" s="405"/>
      <c r="CY166" s="405"/>
      <c r="CZ166" s="405"/>
      <c r="DA166" s="405"/>
      <c r="DB166" s="405"/>
      <c r="DC166" s="405"/>
      <c r="DD166" s="405"/>
      <c r="DE166" s="405"/>
      <c r="DF166" s="405"/>
      <c r="DG166" s="405"/>
      <c r="DH166" s="405"/>
      <c r="DI166" s="405"/>
      <c r="DJ166" s="405"/>
      <c r="DK166" s="405"/>
      <c r="DL166" s="405"/>
      <c r="DM166" s="405"/>
      <c r="DN166" s="405"/>
      <c r="DO166" s="405"/>
      <c r="DP166" s="405"/>
      <c r="DQ166" s="405"/>
      <c r="DR166" s="405"/>
      <c r="DS166" s="405"/>
      <c r="DT166" s="405"/>
      <c r="DU166" s="405"/>
      <c r="DV166" s="405"/>
      <c r="DW166" s="405"/>
      <c r="DX166" s="405"/>
      <c r="DY166" s="405"/>
      <c r="DZ166" s="405"/>
      <c r="EA166" s="405"/>
      <c r="EB166" s="405"/>
      <c r="EC166" s="405"/>
      <c r="ED166" s="405"/>
      <c r="EE166" s="405"/>
      <c r="EF166" s="405"/>
      <c r="EG166" s="405"/>
      <c r="EH166" s="405"/>
      <c r="EI166" s="405"/>
      <c r="EJ166" s="405"/>
      <c r="EK166" s="405"/>
      <c r="EL166" s="405"/>
      <c r="EM166" s="405"/>
      <c r="EN166" s="405"/>
    </row>
    <row r="167" spans="2:144">
      <c r="B167" s="473" t="str">
        <f>VLOOKUP("Input_3d_Header",Hidden_Translations!$B$11:$J$1184,Hidden_Translations!$C$8,FALSE)</f>
        <v>#3d: Storage at docks/airport at destination</v>
      </c>
      <c r="C167" s="459" t="str">
        <f>C156</f>
        <v>(only for global supply chains)</v>
      </c>
      <c r="D167" s="459"/>
      <c r="E167" s="459"/>
      <c r="F167" s="459"/>
      <c r="G167" s="459"/>
      <c r="H167" s="459"/>
      <c r="J167" s="474"/>
      <c r="U167" s="405"/>
      <c r="V167" s="405"/>
      <c r="W167" s="405"/>
      <c r="X167" s="405"/>
      <c r="Y167" s="405"/>
      <c r="Z167" s="405"/>
      <c r="AA167" s="405"/>
      <c r="AB167" s="405"/>
      <c r="AC167" s="405"/>
      <c r="AD167" s="405"/>
      <c r="AE167" s="405"/>
      <c r="AF167" s="405"/>
      <c r="AG167" s="405"/>
      <c r="AH167" s="405"/>
      <c r="AI167" s="405"/>
      <c r="AJ167" s="405"/>
      <c r="AK167" s="405"/>
      <c r="AL167" s="405"/>
      <c r="AM167" s="405"/>
      <c r="AN167" s="405"/>
      <c r="AO167" s="405"/>
      <c r="AP167" s="405"/>
      <c r="AQ167" s="405"/>
      <c r="AR167" s="405"/>
      <c r="AS167" s="405"/>
      <c r="AT167" s="405"/>
      <c r="AU167" s="405"/>
      <c r="AV167" s="405"/>
      <c r="AW167" s="405"/>
      <c r="AX167" s="405"/>
      <c r="AY167" s="405"/>
      <c r="AZ167" s="405"/>
      <c r="BA167" s="405"/>
      <c r="BB167" s="405"/>
      <c r="BC167" s="405"/>
      <c r="BD167" s="405"/>
      <c r="BE167" s="405"/>
      <c r="BF167" s="405"/>
      <c r="BG167" s="405"/>
      <c r="BH167" s="405"/>
      <c r="BI167" s="405"/>
      <c r="BJ167" s="405"/>
      <c r="BK167" s="405"/>
      <c r="BL167" s="405"/>
      <c r="BM167" s="405"/>
      <c r="BN167" s="405"/>
      <c r="BO167" s="405"/>
      <c r="BP167" s="405"/>
      <c r="BQ167" s="405"/>
      <c r="BR167" s="405"/>
      <c r="BS167" s="405"/>
      <c r="BT167" s="405"/>
      <c r="BU167" s="405"/>
      <c r="BV167" s="405"/>
      <c r="BW167" s="405"/>
      <c r="BX167" s="405"/>
      <c r="BY167" s="405"/>
      <c r="BZ167" s="405"/>
      <c r="CA167" s="405"/>
      <c r="CB167" s="405"/>
      <c r="CC167" s="405"/>
      <c r="CD167" s="405"/>
      <c r="CE167" s="405"/>
      <c r="CF167" s="405"/>
      <c r="CG167" s="405"/>
      <c r="CH167" s="405"/>
      <c r="CI167" s="405"/>
      <c r="CJ167" s="405"/>
      <c r="CK167" s="405"/>
      <c r="CL167" s="405"/>
      <c r="CM167" s="405"/>
      <c r="CN167" s="405"/>
      <c r="CO167" s="405"/>
      <c r="CP167" s="405"/>
      <c r="CQ167" s="405"/>
      <c r="CR167" s="405"/>
      <c r="CS167" s="405"/>
      <c r="CT167" s="405"/>
      <c r="CU167" s="405"/>
      <c r="CV167" s="405"/>
      <c r="CW167" s="405"/>
      <c r="CX167" s="405"/>
      <c r="CY167" s="405"/>
      <c r="CZ167" s="405"/>
      <c r="DA167" s="405"/>
      <c r="DB167" s="405"/>
      <c r="DC167" s="405"/>
      <c r="DD167" s="405"/>
      <c r="DE167" s="405"/>
      <c r="DF167" s="405"/>
      <c r="DG167" s="405"/>
      <c r="DH167" s="405"/>
      <c r="DI167" s="405"/>
      <c r="DJ167" s="405"/>
      <c r="DK167" s="405"/>
      <c r="DL167" s="405"/>
      <c r="DM167" s="405"/>
      <c r="DN167" s="405"/>
      <c r="DO167" s="405"/>
      <c r="DP167" s="405"/>
      <c r="DQ167" s="405"/>
      <c r="DR167" s="405"/>
      <c r="DS167" s="405"/>
      <c r="DT167" s="405"/>
      <c r="DU167" s="405"/>
      <c r="DV167" s="405"/>
      <c r="DW167" s="405"/>
      <c r="DX167" s="405"/>
      <c r="DY167" s="405"/>
      <c r="DZ167" s="405"/>
      <c r="EA167" s="405"/>
      <c r="EB167" s="405"/>
      <c r="EC167" s="405"/>
      <c r="ED167" s="405"/>
      <c r="EE167" s="405"/>
      <c r="EF167" s="405"/>
      <c r="EG167" s="405"/>
      <c r="EH167" s="405"/>
      <c r="EI167" s="405"/>
      <c r="EJ167" s="405"/>
      <c r="EK167" s="405"/>
      <c r="EL167" s="405"/>
      <c r="EM167" s="405"/>
      <c r="EN167" s="405"/>
    </row>
    <row r="168" spans="2:144" ht="15" customHeight="1">
      <c r="B168" s="471"/>
      <c r="C168" s="471"/>
      <c r="D168" s="471"/>
      <c r="E168" s="474"/>
      <c r="F168" s="474"/>
      <c r="G168" s="474"/>
      <c r="H168" s="474"/>
      <c r="J168" s="474"/>
      <c r="U168" s="405"/>
      <c r="V168" s="405"/>
      <c r="W168" s="405"/>
      <c r="X168" s="405"/>
      <c r="Y168" s="405"/>
      <c r="Z168" s="405"/>
      <c r="AA168" s="405"/>
      <c r="AB168" s="405"/>
      <c r="AC168" s="405"/>
      <c r="AD168" s="405"/>
      <c r="AE168" s="405"/>
      <c r="AF168" s="405"/>
      <c r="AG168" s="405"/>
      <c r="AH168" s="405"/>
      <c r="AI168" s="405"/>
      <c r="AJ168" s="405"/>
      <c r="AK168" s="405"/>
      <c r="AL168" s="405"/>
      <c r="AM168" s="405"/>
      <c r="AN168" s="405"/>
      <c r="AO168" s="405"/>
      <c r="AP168" s="405"/>
      <c r="AQ168" s="405"/>
      <c r="AR168" s="405"/>
      <c r="AS168" s="405"/>
      <c r="AT168" s="405"/>
      <c r="AU168" s="405"/>
      <c r="AV168" s="405"/>
      <c r="AW168" s="405"/>
      <c r="AX168" s="405"/>
      <c r="AY168" s="405"/>
      <c r="AZ168" s="405"/>
      <c r="BA168" s="405"/>
      <c r="BB168" s="405"/>
      <c r="BC168" s="405"/>
      <c r="BD168" s="405"/>
      <c r="BE168" s="405"/>
      <c r="BF168" s="405"/>
      <c r="BG168" s="405"/>
      <c r="BH168" s="405"/>
      <c r="BI168" s="405"/>
      <c r="BJ168" s="405"/>
      <c r="BK168" s="405"/>
      <c r="BL168" s="405"/>
      <c r="BM168" s="405"/>
      <c r="BN168" s="405"/>
      <c r="BO168" s="405"/>
      <c r="BP168" s="405"/>
      <c r="BQ168" s="405"/>
      <c r="BR168" s="405"/>
      <c r="BS168" s="405"/>
      <c r="BT168" s="405"/>
      <c r="BU168" s="405"/>
      <c r="BV168" s="405"/>
      <c r="BW168" s="405"/>
      <c r="BX168" s="405"/>
      <c r="BY168" s="405"/>
      <c r="BZ168" s="405"/>
      <c r="CA168" s="405"/>
      <c r="CB168" s="405"/>
      <c r="CC168" s="405"/>
      <c r="CD168" s="405"/>
      <c r="CE168" s="405"/>
      <c r="CF168" s="405"/>
      <c r="CG168" s="405"/>
      <c r="CH168" s="405"/>
      <c r="CI168" s="405"/>
      <c r="CJ168" s="405"/>
      <c r="CK168" s="405"/>
      <c r="CL168" s="405"/>
      <c r="CM168" s="405"/>
      <c r="CN168" s="405"/>
      <c r="CO168" s="405"/>
      <c r="CP168" s="405"/>
      <c r="CQ168" s="405"/>
      <c r="CR168" s="405"/>
      <c r="CS168" s="405"/>
      <c r="CT168" s="405"/>
      <c r="CU168" s="405"/>
      <c r="CV168" s="405"/>
      <c r="CW168" s="405"/>
      <c r="CX168" s="405"/>
      <c r="CY168" s="405"/>
      <c r="CZ168" s="405"/>
      <c r="DA168" s="405"/>
      <c r="DB168" s="405"/>
      <c r="DC168" s="405"/>
      <c r="DD168" s="405"/>
      <c r="DE168" s="405"/>
      <c r="DF168" s="405"/>
      <c r="DG168" s="405"/>
      <c r="DH168" s="405"/>
      <c r="DI168" s="405"/>
      <c r="DJ168" s="405"/>
      <c r="DK168" s="405"/>
      <c r="DL168" s="405"/>
      <c r="DM168" s="405"/>
      <c r="DN168" s="405"/>
      <c r="DO168" s="405"/>
      <c r="DP168" s="405"/>
      <c r="DQ168" s="405"/>
      <c r="DR168" s="405"/>
      <c r="DS168" s="405"/>
      <c r="DT168" s="405"/>
      <c r="DU168" s="405"/>
      <c r="DV168" s="405"/>
      <c r="DW168" s="405"/>
      <c r="DX168" s="405"/>
      <c r="DY168" s="405"/>
      <c r="DZ168" s="405"/>
      <c r="EA168" s="405"/>
      <c r="EB168" s="405"/>
      <c r="EC168" s="405"/>
      <c r="ED168" s="405"/>
      <c r="EE168" s="405"/>
      <c r="EF168" s="405"/>
      <c r="EG168" s="405"/>
      <c r="EH168" s="405"/>
      <c r="EI168" s="405"/>
      <c r="EJ168" s="405"/>
      <c r="EK168" s="405"/>
      <c r="EL168" s="405"/>
      <c r="EM168" s="405"/>
      <c r="EN168" s="405"/>
    </row>
    <row r="169" spans="2:144" ht="15" customHeight="1" outlineLevel="1">
      <c r="B169" s="471" t="str">
        <f>VLOOKUP("Input_3d_Header_Text",Hidden_Translations!$B$11:$J$1184,Hidden_Translations!$C$8,FALSE)</f>
        <v xml:space="preserve">This step for global supply chains only adresses storage after long distance transport. </v>
      </c>
      <c r="C169" s="471"/>
      <c r="D169" s="471"/>
      <c r="E169" s="474"/>
      <c r="F169" s="474"/>
      <c r="G169" s="474"/>
      <c r="H169" s="474"/>
      <c r="J169" s="474"/>
      <c r="U169" s="405"/>
      <c r="V169" s="405"/>
      <c r="W169" s="405"/>
      <c r="X169" s="405"/>
      <c r="Y169" s="405"/>
      <c r="Z169" s="405"/>
      <c r="AA169" s="405"/>
      <c r="AB169" s="405"/>
      <c r="AC169" s="405"/>
      <c r="AD169" s="405"/>
      <c r="AE169" s="405"/>
      <c r="AF169" s="405"/>
      <c r="AG169" s="405"/>
      <c r="AH169" s="405"/>
      <c r="AI169" s="405"/>
      <c r="AJ169" s="405"/>
      <c r="AK169" s="405"/>
      <c r="AL169" s="405"/>
      <c r="AM169" s="405"/>
      <c r="AN169" s="405"/>
      <c r="AO169" s="405"/>
      <c r="AP169" s="405"/>
      <c r="AQ169" s="405"/>
      <c r="AR169" s="405"/>
      <c r="AS169" s="405"/>
      <c r="AT169" s="405"/>
      <c r="AU169" s="405"/>
      <c r="AV169" s="405"/>
      <c r="AW169" s="405"/>
      <c r="AX169" s="405"/>
      <c r="AY169" s="405"/>
      <c r="AZ169" s="405"/>
      <c r="BA169" s="405"/>
      <c r="BB169" s="405"/>
      <c r="BC169" s="405"/>
      <c r="BD169" s="405"/>
      <c r="BE169" s="405"/>
      <c r="BF169" s="405"/>
      <c r="BG169" s="405"/>
      <c r="BH169" s="405"/>
      <c r="BI169" s="405"/>
      <c r="BJ169" s="405"/>
      <c r="BK169" s="405"/>
      <c r="BL169" s="405"/>
      <c r="BM169" s="405"/>
      <c r="BN169" s="405"/>
      <c r="BO169" s="405"/>
      <c r="BP169" s="405"/>
      <c r="BQ169" s="405"/>
      <c r="BR169" s="405"/>
      <c r="BS169" s="405"/>
      <c r="BT169" s="405"/>
      <c r="BU169" s="405"/>
      <c r="BV169" s="405"/>
      <c r="BW169" s="405"/>
      <c r="BX169" s="405"/>
      <c r="BY169" s="405"/>
      <c r="BZ169" s="405"/>
      <c r="CA169" s="405"/>
      <c r="CB169" s="405"/>
      <c r="CC169" s="405"/>
      <c r="CD169" s="405"/>
      <c r="CE169" s="405"/>
      <c r="CF169" s="405"/>
      <c r="CG169" s="405"/>
      <c r="CH169" s="405"/>
      <c r="CI169" s="405"/>
      <c r="CJ169" s="405"/>
      <c r="CK169" s="405"/>
      <c r="CL169" s="405"/>
      <c r="CM169" s="405"/>
      <c r="CN169" s="405"/>
      <c r="CO169" s="405"/>
      <c r="CP169" s="405"/>
      <c r="CQ169" s="405"/>
      <c r="CR169" s="405"/>
      <c r="CS169" s="405"/>
      <c r="CT169" s="405"/>
      <c r="CU169" s="405"/>
      <c r="CV169" s="405"/>
      <c r="CW169" s="405"/>
      <c r="CX169" s="405"/>
      <c r="CY169" s="405"/>
      <c r="CZ169" s="405"/>
      <c r="DA169" s="405"/>
      <c r="DB169" s="405"/>
      <c r="DC169" s="405"/>
      <c r="DD169" s="405"/>
      <c r="DE169" s="405"/>
      <c r="DF169" s="405"/>
      <c r="DG169" s="405"/>
      <c r="DH169" s="405"/>
      <c r="DI169" s="405"/>
      <c r="DJ169" s="405"/>
      <c r="DK169" s="405"/>
      <c r="DL169" s="405"/>
      <c r="DM169" s="405"/>
      <c r="DN169" s="405"/>
      <c r="DO169" s="405"/>
      <c r="DP169" s="405"/>
      <c r="DQ169" s="405"/>
      <c r="DR169" s="405"/>
      <c r="DS169" s="405"/>
      <c r="DT169" s="405"/>
      <c r="DU169" s="405"/>
      <c r="DV169" s="405"/>
      <c r="DW169" s="405"/>
      <c r="DX169" s="405"/>
      <c r="DY169" s="405"/>
      <c r="DZ169" s="405"/>
      <c r="EA169" s="405"/>
      <c r="EB169" s="405"/>
      <c r="EC169" s="405"/>
      <c r="ED169" s="405"/>
      <c r="EE169" s="405"/>
      <c r="EF169" s="405"/>
      <c r="EG169" s="405"/>
      <c r="EH169" s="405"/>
      <c r="EI169" s="405"/>
      <c r="EJ169" s="405"/>
      <c r="EK169" s="405"/>
      <c r="EL169" s="405"/>
      <c r="EM169" s="405"/>
      <c r="EN169" s="405"/>
    </row>
    <row r="170" spans="2:144" ht="15" customHeight="1" outlineLevel="1">
      <c r="B170" s="471"/>
      <c r="C170" s="471"/>
      <c r="D170" s="471"/>
      <c r="E170" s="474"/>
      <c r="F170" s="474"/>
      <c r="G170" s="474"/>
      <c r="H170" s="474"/>
      <c r="J170" s="474"/>
      <c r="U170" s="405"/>
      <c r="V170" s="405"/>
      <c r="W170" s="405"/>
      <c r="X170" s="405"/>
      <c r="Y170" s="405"/>
      <c r="Z170" s="405"/>
      <c r="AA170" s="405"/>
      <c r="AB170" s="405"/>
      <c r="AC170" s="405"/>
      <c r="AD170" s="405"/>
      <c r="AE170" s="405"/>
      <c r="AF170" s="405"/>
      <c r="AG170" s="405"/>
      <c r="AH170" s="405"/>
      <c r="AI170" s="405"/>
      <c r="AJ170" s="405"/>
      <c r="AK170" s="405"/>
      <c r="AL170" s="405"/>
      <c r="AM170" s="405"/>
      <c r="AN170" s="405"/>
      <c r="AO170" s="405"/>
      <c r="AP170" s="405"/>
      <c r="AQ170" s="405"/>
      <c r="AR170" s="405"/>
      <c r="AS170" s="405"/>
      <c r="AT170" s="405"/>
      <c r="AU170" s="405"/>
      <c r="AV170" s="405"/>
      <c r="AW170" s="405"/>
      <c r="AX170" s="405"/>
      <c r="AY170" s="405"/>
      <c r="AZ170" s="405"/>
      <c r="BA170" s="405"/>
      <c r="BB170" s="405"/>
      <c r="BC170" s="405"/>
      <c r="BD170" s="405"/>
      <c r="BE170" s="405"/>
      <c r="BF170" s="405"/>
      <c r="BG170" s="405"/>
      <c r="BH170" s="405"/>
      <c r="BI170" s="405"/>
      <c r="BJ170" s="405"/>
      <c r="BK170" s="405"/>
      <c r="BL170" s="405"/>
      <c r="BM170" s="405"/>
      <c r="BN170" s="405"/>
      <c r="BO170" s="405"/>
      <c r="BP170" s="405"/>
      <c r="BQ170" s="405"/>
      <c r="BR170" s="405"/>
      <c r="BS170" s="405"/>
      <c r="BT170" s="405"/>
      <c r="BU170" s="405"/>
      <c r="BV170" s="405"/>
      <c r="BW170" s="405"/>
      <c r="BX170" s="405"/>
      <c r="BY170" s="405"/>
      <c r="BZ170" s="405"/>
      <c r="CA170" s="405"/>
      <c r="CB170" s="405"/>
      <c r="CC170" s="405"/>
      <c r="CD170" s="405"/>
      <c r="CE170" s="405"/>
      <c r="CF170" s="405"/>
      <c r="CG170" s="405"/>
      <c r="CH170" s="405"/>
      <c r="CI170" s="405"/>
      <c r="CJ170" s="405"/>
      <c r="CK170" s="405"/>
      <c r="CL170" s="405"/>
      <c r="CM170" s="405"/>
      <c r="CN170" s="405"/>
      <c r="CO170" s="405"/>
      <c r="CP170" s="405"/>
      <c r="CQ170" s="405"/>
      <c r="CR170" s="405"/>
      <c r="CS170" s="405"/>
      <c r="CT170" s="405"/>
      <c r="CU170" s="405"/>
      <c r="CV170" s="405"/>
      <c r="CW170" s="405"/>
      <c r="CX170" s="405"/>
      <c r="CY170" s="405"/>
      <c r="CZ170" s="405"/>
      <c r="DA170" s="405"/>
      <c r="DB170" s="405"/>
      <c r="DC170" s="405"/>
      <c r="DD170" s="405"/>
      <c r="DE170" s="405"/>
      <c r="DF170" s="405"/>
      <c r="DG170" s="405"/>
      <c r="DH170" s="405"/>
      <c r="DI170" s="405"/>
      <c r="DJ170" s="405"/>
      <c r="DK170" s="405"/>
      <c r="DL170" s="405"/>
      <c r="DM170" s="405"/>
      <c r="DN170" s="405"/>
      <c r="DO170" s="405"/>
      <c r="DP170" s="405"/>
      <c r="DQ170" s="405"/>
      <c r="DR170" s="405"/>
      <c r="DS170" s="405"/>
      <c r="DT170" s="405"/>
      <c r="DU170" s="405"/>
      <c r="DV170" s="405"/>
      <c r="DW170" s="405"/>
      <c r="DX170" s="405"/>
      <c r="DY170" s="405"/>
      <c r="DZ170" s="405"/>
      <c r="EA170" s="405"/>
      <c r="EB170" s="405"/>
      <c r="EC170" s="405"/>
      <c r="ED170" s="405"/>
      <c r="EE170" s="405"/>
      <c r="EF170" s="405"/>
      <c r="EG170" s="405"/>
      <c r="EH170" s="405"/>
      <c r="EI170" s="405"/>
      <c r="EJ170" s="405"/>
      <c r="EK170" s="405"/>
      <c r="EL170" s="405"/>
      <c r="EM170" s="405"/>
      <c r="EN170" s="405"/>
    </row>
    <row r="171" spans="2:144" ht="15" customHeight="1" outlineLevel="1">
      <c r="B171" s="411" t="str">
        <f>B143</f>
        <v>Storage time of a batch at the warehouse</v>
      </c>
      <c r="C171" s="411"/>
      <c r="D171" s="411"/>
      <c r="E171" s="411"/>
      <c r="F171" s="258">
        <v>0</v>
      </c>
      <c r="G171" s="411" t="str">
        <f>G143</f>
        <v>[d]</v>
      </c>
      <c r="H171" s="411"/>
      <c r="J171" s="474"/>
      <c r="U171" s="405"/>
      <c r="V171" s="405"/>
      <c r="W171" s="405"/>
      <c r="X171" s="405"/>
      <c r="Y171" s="405"/>
      <c r="Z171" s="405"/>
      <c r="AA171" s="405"/>
      <c r="AB171" s="405"/>
      <c r="AC171" s="405"/>
      <c r="AD171" s="405"/>
      <c r="AE171" s="405"/>
      <c r="AF171" s="405"/>
      <c r="AG171" s="405"/>
      <c r="AH171" s="405"/>
      <c r="AI171" s="405"/>
      <c r="AJ171" s="405"/>
      <c r="AK171" s="405"/>
      <c r="AL171" s="405"/>
      <c r="AM171" s="405"/>
      <c r="AN171" s="405"/>
      <c r="AO171" s="405"/>
      <c r="AP171" s="405"/>
      <c r="AQ171" s="405"/>
      <c r="AR171" s="405"/>
      <c r="AS171" s="405"/>
      <c r="AT171" s="405"/>
      <c r="AU171" s="405"/>
      <c r="AV171" s="405"/>
      <c r="AW171" s="405"/>
      <c r="AX171" s="405"/>
      <c r="AY171" s="405"/>
      <c r="AZ171" s="405"/>
      <c r="BA171" s="405"/>
      <c r="BB171" s="405"/>
      <c r="BC171" s="405"/>
      <c r="BD171" s="405"/>
      <c r="BE171" s="405"/>
      <c r="BF171" s="405"/>
      <c r="BG171" s="405"/>
      <c r="BH171" s="405"/>
      <c r="BI171" s="405"/>
      <c r="BJ171" s="405"/>
      <c r="BK171" s="405"/>
      <c r="BL171" s="405"/>
      <c r="BM171" s="405"/>
      <c r="BN171" s="405"/>
      <c r="BO171" s="405"/>
      <c r="BP171" s="405"/>
      <c r="BQ171" s="405"/>
      <c r="BR171" s="405"/>
      <c r="BS171" s="405"/>
      <c r="BT171" s="405"/>
      <c r="BU171" s="405"/>
      <c r="BV171" s="405"/>
      <c r="BW171" s="405"/>
      <c r="BX171" s="405"/>
      <c r="BY171" s="405"/>
      <c r="BZ171" s="405"/>
      <c r="CA171" s="405"/>
      <c r="CB171" s="405"/>
      <c r="CC171" s="405"/>
      <c r="CD171" s="405"/>
      <c r="CE171" s="405"/>
      <c r="CF171" s="405"/>
      <c r="CG171" s="405"/>
      <c r="CH171" s="405"/>
      <c r="CI171" s="405"/>
      <c r="CJ171" s="405"/>
      <c r="CK171" s="405"/>
      <c r="CL171" s="405"/>
      <c r="CM171" s="405"/>
      <c r="CN171" s="405"/>
      <c r="CO171" s="405"/>
      <c r="CP171" s="405"/>
      <c r="CQ171" s="405"/>
      <c r="CR171" s="405"/>
      <c r="CS171" s="405"/>
      <c r="CT171" s="405"/>
      <c r="CU171" s="405"/>
      <c r="CV171" s="405"/>
      <c r="CW171" s="405"/>
      <c r="CX171" s="405"/>
      <c r="CY171" s="405"/>
      <c r="CZ171" s="405"/>
      <c r="DA171" s="405"/>
      <c r="DB171" s="405"/>
      <c r="DC171" s="405"/>
      <c r="DD171" s="405"/>
      <c r="DE171" s="405"/>
      <c r="DF171" s="405"/>
      <c r="DG171" s="405"/>
      <c r="DH171" s="405"/>
      <c r="DI171" s="405"/>
      <c r="DJ171" s="405"/>
      <c r="DK171" s="405"/>
      <c r="DL171" s="405"/>
      <c r="DM171" s="405"/>
      <c r="DN171" s="405"/>
      <c r="DO171" s="405"/>
      <c r="DP171" s="405"/>
      <c r="DQ171" s="405"/>
      <c r="DR171" s="405"/>
      <c r="DS171" s="405"/>
      <c r="DT171" s="405"/>
      <c r="DU171" s="405"/>
      <c r="DV171" s="405"/>
      <c r="DW171" s="405"/>
      <c r="DX171" s="405"/>
      <c r="DY171" s="405"/>
      <c r="DZ171" s="405"/>
      <c r="EA171" s="405"/>
      <c r="EB171" s="405"/>
      <c r="EC171" s="405"/>
      <c r="ED171" s="405"/>
      <c r="EE171" s="405"/>
      <c r="EF171" s="405"/>
      <c r="EG171" s="405"/>
      <c r="EH171" s="405"/>
      <c r="EI171" s="405"/>
      <c r="EJ171" s="405"/>
      <c r="EK171" s="405"/>
      <c r="EL171" s="405"/>
      <c r="EM171" s="405"/>
      <c r="EN171" s="405"/>
    </row>
    <row r="172" spans="2:144" ht="15" customHeight="1" outlineLevel="1">
      <c r="B172" s="411" t="str">
        <f>B144</f>
        <v>Warehouse volume occupied by a batch</v>
      </c>
      <c r="C172" s="411"/>
      <c r="D172" s="411"/>
      <c r="E172" s="411"/>
      <c r="F172" s="259">
        <v>0</v>
      </c>
      <c r="G172" s="411" t="str">
        <f>G144</f>
        <v>[m³]</v>
      </c>
      <c r="H172" s="411"/>
      <c r="J172" s="474"/>
      <c r="U172" s="405"/>
      <c r="V172" s="405"/>
      <c r="W172" s="405"/>
      <c r="X172" s="405"/>
      <c r="Y172" s="405"/>
      <c r="Z172" s="405"/>
      <c r="AA172" s="405"/>
      <c r="AB172" s="405"/>
      <c r="AC172" s="405"/>
      <c r="AD172" s="405"/>
      <c r="AE172" s="405"/>
      <c r="AF172" s="405"/>
      <c r="AG172" s="405"/>
      <c r="AH172" s="405"/>
      <c r="AI172" s="405"/>
      <c r="AJ172" s="405"/>
      <c r="AK172" s="405"/>
      <c r="AL172" s="405"/>
      <c r="AM172" s="405"/>
      <c r="AN172" s="405"/>
      <c r="AO172" s="405"/>
      <c r="AP172" s="405"/>
      <c r="AQ172" s="405"/>
      <c r="AR172" s="405"/>
      <c r="AS172" s="405"/>
      <c r="AT172" s="405"/>
      <c r="AU172" s="405"/>
      <c r="AV172" s="405"/>
      <c r="AW172" s="405"/>
      <c r="AX172" s="405"/>
      <c r="AY172" s="405"/>
      <c r="AZ172" s="405"/>
      <c r="BA172" s="405"/>
      <c r="BB172" s="405"/>
      <c r="BC172" s="405"/>
      <c r="BD172" s="405"/>
      <c r="BE172" s="405"/>
      <c r="BF172" s="405"/>
      <c r="BG172" s="405"/>
      <c r="BH172" s="405"/>
      <c r="BI172" s="405"/>
      <c r="BJ172" s="405"/>
      <c r="BK172" s="405"/>
      <c r="BL172" s="405"/>
      <c r="BM172" s="405"/>
      <c r="BN172" s="405"/>
      <c r="BO172" s="405"/>
      <c r="BP172" s="405"/>
      <c r="BQ172" s="405"/>
      <c r="BR172" s="405"/>
      <c r="BS172" s="405"/>
      <c r="BT172" s="405"/>
      <c r="BU172" s="405"/>
      <c r="BV172" s="405"/>
      <c r="BW172" s="405"/>
      <c r="BX172" s="405"/>
      <c r="BY172" s="405"/>
      <c r="BZ172" s="405"/>
      <c r="CA172" s="405"/>
      <c r="CB172" s="405"/>
      <c r="CC172" s="405"/>
      <c r="CD172" s="405"/>
      <c r="CE172" s="405"/>
      <c r="CF172" s="405"/>
      <c r="CG172" s="405"/>
      <c r="CH172" s="405"/>
      <c r="CI172" s="405"/>
      <c r="CJ172" s="405"/>
      <c r="CK172" s="405"/>
      <c r="CL172" s="405"/>
      <c r="CM172" s="405"/>
      <c r="CN172" s="405"/>
      <c r="CO172" s="405"/>
      <c r="CP172" s="405"/>
      <c r="CQ172" s="405"/>
      <c r="CR172" s="405"/>
      <c r="CS172" s="405"/>
      <c r="CT172" s="405"/>
      <c r="CU172" s="405"/>
      <c r="CV172" s="405"/>
      <c r="CW172" s="405"/>
      <c r="CX172" s="405"/>
      <c r="CY172" s="405"/>
      <c r="CZ172" s="405"/>
      <c r="DA172" s="405"/>
      <c r="DB172" s="405"/>
      <c r="DC172" s="405"/>
      <c r="DD172" s="405"/>
      <c r="DE172" s="405"/>
      <c r="DF172" s="405"/>
      <c r="DG172" s="405"/>
      <c r="DH172" s="405"/>
      <c r="DI172" s="405"/>
      <c r="DJ172" s="405"/>
      <c r="DK172" s="405"/>
      <c r="DL172" s="405"/>
      <c r="DM172" s="405"/>
      <c r="DN172" s="405"/>
      <c r="DO172" s="405"/>
      <c r="DP172" s="405"/>
      <c r="DQ172" s="405"/>
      <c r="DR172" s="405"/>
      <c r="DS172" s="405"/>
      <c r="DT172" s="405"/>
      <c r="DU172" s="405"/>
      <c r="DV172" s="405"/>
      <c r="DW172" s="405"/>
      <c r="DX172" s="405"/>
      <c r="DY172" s="405"/>
      <c r="DZ172" s="405"/>
      <c r="EA172" s="405"/>
      <c r="EB172" s="405"/>
      <c r="EC172" s="405"/>
      <c r="ED172" s="405"/>
      <c r="EE172" s="405"/>
      <c r="EF172" s="405"/>
      <c r="EG172" s="405"/>
      <c r="EH172" s="405"/>
      <c r="EI172" s="405"/>
      <c r="EJ172" s="405"/>
      <c r="EK172" s="405"/>
      <c r="EL172" s="405"/>
      <c r="EM172" s="405"/>
      <c r="EN172" s="405"/>
    </row>
    <row r="173" spans="2:144" ht="15" customHeight="1" outlineLevel="1">
      <c r="B173" s="411" t="str">
        <f>B145</f>
        <v>Total size of storage</v>
      </c>
      <c r="C173" s="411"/>
      <c r="D173" s="411"/>
      <c r="E173" s="411"/>
      <c r="F173" s="258">
        <v>0</v>
      </c>
      <c r="G173" s="411" t="str">
        <f>G145</f>
        <v>[m³]</v>
      </c>
      <c r="H173" s="411"/>
      <c r="J173" s="474"/>
      <c r="U173" s="405"/>
      <c r="V173" s="405"/>
      <c r="W173" s="405"/>
      <c r="X173" s="405"/>
      <c r="Y173" s="405"/>
      <c r="Z173" s="405"/>
      <c r="AA173" s="405"/>
      <c r="AB173" s="405"/>
      <c r="AC173" s="405"/>
      <c r="AD173" s="405"/>
      <c r="AE173" s="405"/>
      <c r="AF173" s="405"/>
      <c r="AG173" s="405"/>
      <c r="AH173" s="405"/>
      <c r="AI173" s="405"/>
      <c r="AJ173" s="405"/>
      <c r="AK173" s="405"/>
      <c r="AL173" s="405"/>
      <c r="AM173" s="405"/>
      <c r="AN173" s="405"/>
      <c r="AO173" s="405"/>
      <c r="AP173" s="405"/>
      <c r="AQ173" s="405"/>
      <c r="AR173" s="405"/>
      <c r="AS173" s="405"/>
      <c r="AT173" s="405"/>
      <c r="AU173" s="405"/>
      <c r="AV173" s="405"/>
      <c r="AW173" s="405"/>
      <c r="AX173" s="405"/>
      <c r="AY173" s="405"/>
      <c r="AZ173" s="405"/>
      <c r="BA173" s="405"/>
      <c r="BB173" s="405"/>
      <c r="BC173" s="405"/>
      <c r="BD173" s="405"/>
      <c r="BE173" s="405"/>
      <c r="BF173" s="405"/>
      <c r="BG173" s="405"/>
      <c r="BH173" s="405"/>
      <c r="BI173" s="405"/>
      <c r="BJ173" s="405"/>
      <c r="BK173" s="405"/>
      <c r="BL173" s="405"/>
      <c r="BM173" s="405"/>
      <c r="BN173" s="405"/>
      <c r="BO173" s="405"/>
      <c r="BP173" s="405"/>
      <c r="BQ173" s="405"/>
      <c r="BR173" s="405"/>
      <c r="BS173" s="405"/>
      <c r="BT173" s="405"/>
      <c r="BU173" s="405"/>
      <c r="BV173" s="405"/>
      <c r="BW173" s="405"/>
      <c r="BX173" s="405"/>
      <c r="BY173" s="405"/>
      <c r="BZ173" s="405"/>
      <c r="CA173" s="405"/>
      <c r="CB173" s="405"/>
      <c r="CC173" s="405"/>
      <c r="CD173" s="405"/>
      <c r="CE173" s="405"/>
      <c r="CF173" s="405"/>
      <c r="CG173" s="405"/>
      <c r="CH173" s="405"/>
      <c r="CI173" s="405"/>
      <c r="CJ173" s="405"/>
      <c r="CK173" s="405"/>
      <c r="CL173" s="405"/>
      <c r="CM173" s="405"/>
      <c r="CN173" s="405"/>
      <c r="CO173" s="405"/>
      <c r="CP173" s="405"/>
      <c r="CQ173" s="405"/>
      <c r="CR173" s="405"/>
      <c r="CS173" s="405"/>
      <c r="CT173" s="405"/>
      <c r="CU173" s="405"/>
      <c r="CV173" s="405"/>
      <c r="CW173" s="405"/>
      <c r="CX173" s="405"/>
      <c r="CY173" s="405"/>
      <c r="CZ173" s="405"/>
      <c r="DA173" s="405"/>
      <c r="DB173" s="405"/>
      <c r="DC173" s="405"/>
      <c r="DD173" s="405"/>
      <c r="DE173" s="405"/>
      <c r="DF173" s="405"/>
      <c r="DG173" s="405"/>
      <c r="DH173" s="405"/>
      <c r="DI173" s="405"/>
      <c r="DJ173" s="405"/>
      <c r="DK173" s="405"/>
      <c r="DL173" s="405"/>
      <c r="DM173" s="405"/>
      <c r="DN173" s="405"/>
      <c r="DO173" s="405"/>
      <c r="DP173" s="405"/>
      <c r="DQ173" s="405"/>
      <c r="DR173" s="405"/>
      <c r="DS173" s="405"/>
      <c r="DT173" s="405"/>
      <c r="DU173" s="405"/>
      <c r="DV173" s="405"/>
      <c r="DW173" s="405"/>
      <c r="DX173" s="405"/>
      <c r="DY173" s="405"/>
      <c r="DZ173" s="405"/>
      <c r="EA173" s="405"/>
      <c r="EB173" s="405"/>
      <c r="EC173" s="405"/>
      <c r="ED173" s="405"/>
      <c r="EE173" s="405"/>
      <c r="EF173" s="405"/>
      <c r="EG173" s="405"/>
      <c r="EH173" s="405"/>
      <c r="EI173" s="405"/>
      <c r="EJ173" s="405"/>
      <c r="EK173" s="405"/>
      <c r="EL173" s="405"/>
      <c r="EM173" s="405"/>
      <c r="EN173" s="405"/>
    </row>
    <row r="174" spans="2:144" ht="15" customHeight="1" outlineLevel="1">
      <c r="B174" s="444"/>
      <c r="F174" s="87"/>
      <c r="H174" s="403"/>
      <c r="J174" s="474"/>
      <c r="U174" s="405"/>
      <c r="V174" s="405"/>
      <c r="W174" s="405"/>
      <c r="X174" s="405"/>
      <c r="Y174" s="405"/>
      <c r="Z174" s="405"/>
      <c r="AA174" s="405"/>
      <c r="AB174" s="405"/>
      <c r="AC174" s="405"/>
      <c r="AD174" s="405"/>
      <c r="AE174" s="405"/>
      <c r="AF174" s="405"/>
      <c r="AG174" s="405"/>
      <c r="AH174" s="405"/>
      <c r="AI174" s="405"/>
      <c r="AJ174" s="405"/>
      <c r="AK174" s="405"/>
      <c r="AL174" s="405"/>
      <c r="AM174" s="405"/>
      <c r="AN174" s="405"/>
      <c r="AO174" s="405"/>
      <c r="AP174" s="405"/>
      <c r="AQ174" s="405"/>
      <c r="AR174" s="405"/>
      <c r="AS174" s="405"/>
      <c r="AT174" s="405"/>
      <c r="AU174" s="405"/>
      <c r="AV174" s="405"/>
      <c r="AW174" s="405"/>
      <c r="AX174" s="405"/>
      <c r="AY174" s="405"/>
      <c r="AZ174" s="405"/>
      <c r="BA174" s="405"/>
      <c r="BB174" s="405"/>
      <c r="BC174" s="405"/>
      <c r="BD174" s="405"/>
      <c r="BE174" s="405"/>
      <c r="BF174" s="405"/>
      <c r="BG174" s="405"/>
      <c r="BH174" s="405"/>
      <c r="BI174" s="405"/>
      <c r="BJ174" s="405"/>
      <c r="BK174" s="405"/>
      <c r="BL174" s="405"/>
      <c r="BM174" s="405"/>
      <c r="BN174" s="405"/>
      <c r="BO174" s="405"/>
      <c r="BP174" s="405"/>
      <c r="BQ174" s="405"/>
      <c r="BR174" s="405"/>
      <c r="BS174" s="405"/>
      <c r="BT174" s="405"/>
      <c r="BU174" s="405"/>
      <c r="BV174" s="405"/>
      <c r="BW174" s="405"/>
      <c r="BX174" s="405"/>
      <c r="BY174" s="405"/>
      <c r="BZ174" s="405"/>
      <c r="CA174" s="405"/>
      <c r="CB174" s="405"/>
      <c r="CC174" s="405"/>
      <c r="CD174" s="405"/>
      <c r="CE174" s="405"/>
      <c r="CF174" s="405"/>
      <c r="CG174" s="405"/>
      <c r="CH174" s="405"/>
      <c r="CI174" s="405"/>
      <c r="CJ174" s="405"/>
      <c r="CK174" s="405"/>
      <c r="CL174" s="405"/>
      <c r="CM174" s="405"/>
      <c r="CN174" s="405"/>
      <c r="CO174" s="405"/>
      <c r="CP174" s="405"/>
      <c r="CQ174" s="405"/>
      <c r="CR174" s="405"/>
      <c r="CS174" s="405"/>
      <c r="CT174" s="405"/>
      <c r="CU174" s="405"/>
      <c r="CV174" s="405"/>
      <c r="CW174" s="405"/>
      <c r="CX174" s="405"/>
      <c r="CY174" s="405"/>
      <c r="CZ174" s="405"/>
      <c r="DA174" s="405"/>
      <c r="DB174" s="405"/>
      <c r="DC174" s="405"/>
      <c r="DD174" s="405"/>
      <c r="DE174" s="405"/>
      <c r="DF174" s="405"/>
      <c r="DG174" s="405"/>
      <c r="DH174" s="405"/>
      <c r="DI174" s="405"/>
      <c r="DJ174" s="405"/>
      <c r="DK174" s="405"/>
      <c r="DL174" s="405"/>
      <c r="DM174" s="405"/>
      <c r="DN174" s="405"/>
      <c r="DO174" s="405"/>
      <c r="DP174" s="405"/>
      <c r="DQ174" s="405"/>
      <c r="DR174" s="405"/>
      <c r="DS174" s="405"/>
      <c r="DT174" s="405"/>
      <c r="DU174" s="405"/>
      <c r="DV174" s="405"/>
      <c r="DW174" s="405"/>
      <c r="DX174" s="405"/>
      <c r="DY174" s="405"/>
      <c r="DZ174" s="405"/>
      <c r="EA174" s="405"/>
      <c r="EB174" s="405"/>
      <c r="EC174" s="405"/>
      <c r="ED174" s="405"/>
      <c r="EE174" s="405"/>
      <c r="EF174" s="405"/>
      <c r="EG174" s="405"/>
      <c r="EH174" s="405"/>
      <c r="EI174" s="405"/>
      <c r="EJ174" s="405"/>
      <c r="EK174" s="405"/>
      <c r="EL174" s="405"/>
      <c r="EM174" s="405"/>
      <c r="EN174" s="405"/>
    </row>
    <row r="175" spans="2:144" ht="15" customHeight="1" outlineLevel="1">
      <c r="B175" s="411" t="str">
        <f>B147</f>
        <v>Electricity from the grid</v>
      </c>
      <c r="C175" s="411"/>
      <c r="D175" s="411"/>
      <c r="E175" s="411" t="str">
        <f>E100</f>
        <v>Consumption per year:</v>
      </c>
      <c r="F175" s="258">
        <v>0</v>
      </c>
      <c r="G175" s="411" t="str">
        <f>G147</f>
        <v>[kWh]</v>
      </c>
      <c r="H175" s="411"/>
      <c r="J175" s="474"/>
      <c r="U175" s="405"/>
      <c r="V175" s="405"/>
      <c r="W175" s="405"/>
      <c r="X175" s="405"/>
      <c r="Y175" s="405"/>
      <c r="Z175" s="405"/>
      <c r="AA175" s="405"/>
      <c r="AB175" s="405"/>
      <c r="AC175" s="405"/>
      <c r="AD175" s="405"/>
      <c r="AE175" s="405"/>
      <c r="AF175" s="405"/>
      <c r="AG175" s="405"/>
      <c r="AH175" s="405"/>
      <c r="AI175" s="405"/>
      <c r="AJ175" s="405"/>
      <c r="AK175" s="405"/>
      <c r="AL175" s="405"/>
      <c r="AM175" s="405"/>
      <c r="AN175" s="405"/>
      <c r="AO175" s="405"/>
      <c r="AP175" s="405"/>
      <c r="AQ175" s="405"/>
      <c r="AR175" s="405"/>
      <c r="AS175" s="405"/>
      <c r="AT175" s="405"/>
      <c r="AU175" s="405"/>
      <c r="AV175" s="405"/>
      <c r="AW175" s="405"/>
      <c r="AX175" s="405"/>
      <c r="AY175" s="405"/>
      <c r="AZ175" s="405"/>
      <c r="BA175" s="405"/>
      <c r="BB175" s="405"/>
      <c r="BC175" s="405"/>
      <c r="BD175" s="405"/>
      <c r="BE175" s="405"/>
      <c r="BF175" s="405"/>
      <c r="BG175" s="405"/>
      <c r="BH175" s="405"/>
      <c r="BI175" s="405"/>
      <c r="BJ175" s="405"/>
      <c r="BK175" s="405"/>
      <c r="BL175" s="405"/>
      <c r="BM175" s="405"/>
      <c r="BN175" s="405"/>
      <c r="BO175" s="405"/>
      <c r="BP175" s="405"/>
      <c r="BQ175" s="405"/>
      <c r="BR175" s="405"/>
      <c r="BS175" s="405"/>
      <c r="BT175" s="405"/>
      <c r="BU175" s="405"/>
      <c r="BV175" s="405"/>
      <c r="BW175" s="405"/>
      <c r="BX175" s="405"/>
      <c r="BY175" s="405"/>
      <c r="BZ175" s="405"/>
      <c r="CA175" s="405"/>
      <c r="CB175" s="405"/>
      <c r="CC175" s="405"/>
      <c r="CD175" s="405"/>
      <c r="CE175" s="405"/>
      <c r="CF175" s="405"/>
      <c r="CG175" s="405"/>
      <c r="CH175" s="405"/>
      <c r="CI175" s="405"/>
      <c r="CJ175" s="405"/>
      <c r="CK175" s="405"/>
      <c r="CL175" s="405"/>
      <c r="CM175" s="405"/>
      <c r="CN175" s="405"/>
      <c r="CO175" s="405"/>
      <c r="CP175" s="405"/>
      <c r="CQ175" s="405"/>
      <c r="CR175" s="405"/>
      <c r="CS175" s="405"/>
      <c r="CT175" s="405"/>
      <c r="CU175" s="405"/>
      <c r="CV175" s="405"/>
      <c r="CW175" s="405"/>
      <c r="CX175" s="405"/>
      <c r="CY175" s="405"/>
      <c r="CZ175" s="405"/>
      <c r="DA175" s="405"/>
      <c r="DB175" s="405"/>
      <c r="DC175" s="405"/>
      <c r="DD175" s="405"/>
      <c r="DE175" s="405"/>
      <c r="DF175" s="405"/>
      <c r="DG175" s="405"/>
      <c r="DH175" s="405"/>
      <c r="DI175" s="405"/>
      <c r="DJ175" s="405"/>
      <c r="DK175" s="405"/>
      <c r="DL175" s="405"/>
      <c r="DM175" s="405"/>
      <c r="DN175" s="405"/>
      <c r="DO175" s="405"/>
      <c r="DP175" s="405"/>
      <c r="DQ175" s="405"/>
      <c r="DR175" s="405"/>
      <c r="DS175" s="405"/>
      <c r="DT175" s="405"/>
      <c r="DU175" s="405"/>
      <c r="DV175" s="405"/>
      <c r="DW175" s="405"/>
      <c r="DX175" s="405"/>
      <c r="DY175" s="405"/>
      <c r="DZ175" s="405"/>
      <c r="EA175" s="405"/>
      <c r="EB175" s="405"/>
      <c r="EC175" s="405"/>
      <c r="ED175" s="405"/>
      <c r="EE175" s="405"/>
      <c r="EF175" s="405"/>
      <c r="EG175" s="405"/>
      <c r="EH175" s="405"/>
      <c r="EI175" s="405"/>
      <c r="EJ175" s="405"/>
      <c r="EK175" s="405"/>
      <c r="EL175" s="405"/>
      <c r="EM175" s="405"/>
      <c r="EN175" s="405"/>
    </row>
    <row r="176" spans="2:144" ht="15" customHeight="1" outlineLevel="1">
      <c r="B176" s="256"/>
      <c r="C176" s="411" t="str">
        <f>G22</f>
        <v>[Selection]</v>
      </c>
      <c r="D176" s="411"/>
      <c r="E176" s="411" t="str">
        <f>E100</f>
        <v>Consumption per year:</v>
      </c>
      <c r="F176" s="258">
        <v>0</v>
      </c>
      <c r="G176" s="411" t="str">
        <f>VLOOKUP(B176,Hidden_Database!$C$11:$I$75,3,FALSE)</f>
        <v>[kg]</v>
      </c>
      <c r="H176" s="411"/>
      <c r="J176" s="474"/>
      <c r="U176" s="405"/>
      <c r="V176" s="405"/>
      <c r="W176" s="405"/>
      <c r="X176" s="405"/>
      <c r="Y176" s="405"/>
      <c r="Z176" s="405"/>
      <c r="AA176" s="405"/>
      <c r="AB176" s="405"/>
      <c r="AC176" s="405"/>
      <c r="AD176" s="405"/>
      <c r="AE176" s="405"/>
      <c r="AF176" s="405"/>
      <c r="AG176" s="405"/>
      <c r="AH176" s="405"/>
      <c r="AI176" s="405"/>
      <c r="AJ176" s="405"/>
      <c r="AK176" s="405"/>
      <c r="AL176" s="405"/>
      <c r="AM176" s="405"/>
      <c r="AN176" s="405"/>
      <c r="AO176" s="405"/>
      <c r="AP176" s="405"/>
      <c r="AQ176" s="405"/>
      <c r="AR176" s="405"/>
      <c r="AS176" s="405"/>
      <c r="AT176" s="405"/>
      <c r="AU176" s="405"/>
      <c r="AV176" s="405"/>
      <c r="AW176" s="405"/>
      <c r="AX176" s="405"/>
      <c r="AY176" s="405"/>
      <c r="AZ176" s="405"/>
      <c r="BA176" s="405"/>
      <c r="BB176" s="405"/>
      <c r="BC176" s="405"/>
      <c r="BD176" s="405"/>
      <c r="BE176" s="405"/>
      <c r="BF176" s="405"/>
      <c r="BG176" s="405"/>
      <c r="BH176" s="405"/>
      <c r="BI176" s="405"/>
      <c r="BJ176" s="405"/>
      <c r="BK176" s="405"/>
      <c r="BL176" s="405"/>
      <c r="BM176" s="405"/>
      <c r="BN176" s="405"/>
      <c r="BO176" s="405"/>
      <c r="BP176" s="405"/>
      <c r="BQ176" s="405"/>
      <c r="BR176" s="405"/>
      <c r="BS176" s="405"/>
      <c r="BT176" s="405"/>
      <c r="BU176" s="405"/>
      <c r="BV176" s="405"/>
      <c r="BW176" s="405"/>
      <c r="BX176" s="405"/>
      <c r="BY176" s="405"/>
      <c r="BZ176" s="405"/>
      <c r="CA176" s="405"/>
      <c r="CB176" s="405"/>
      <c r="CC176" s="405"/>
      <c r="CD176" s="405"/>
      <c r="CE176" s="405"/>
      <c r="CF176" s="405"/>
      <c r="CG176" s="405"/>
      <c r="CH176" s="405"/>
      <c r="CI176" s="405"/>
      <c r="CJ176" s="405"/>
      <c r="CK176" s="405"/>
      <c r="CL176" s="405"/>
      <c r="CM176" s="405"/>
      <c r="CN176" s="405"/>
      <c r="CO176" s="405"/>
      <c r="CP176" s="405"/>
      <c r="CQ176" s="405"/>
      <c r="CR176" s="405"/>
      <c r="CS176" s="405"/>
      <c r="CT176" s="405"/>
      <c r="CU176" s="405"/>
      <c r="CV176" s="405"/>
      <c r="CW176" s="405"/>
      <c r="CX176" s="405"/>
      <c r="CY176" s="405"/>
      <c r="CZ176" s="405"/>
      <c r="DA176" s="405"/>
      <c r="DB176" s="405"/>
      <c r="DC176" s="405"/>
      <c r="DD176" s="405"/>
      <c r="DE176" s="405"/>
      <c r="DF176" s="405"/>
      <c r="DG176" s="405"/>
      <c r="DH176" s="405"/>
      <c r="DI176" s="405"/>
      <c r="DJ176" s="405"/>
      <c r="DK176" s="405"/>
      <c r="DL176" s="405"/>
      <c r="DM176" s="405"/>
      <c r="DN176" s="405"/>
      <c r="DO176" s="405"/>
      <c r="DP176" s="405"/>
      <c r="DQ176" s="405"/>
      <c r="DR176" s="405"/>
      <c r="DS176" s="405"/>
      <c r="DT176" s="405"/>
      <c r="DU176" s="405"/>
      <c r="DV176" s="405"/>
      <c r="DW176" s="405"/>
      <c r="DX176" s="405"/>
      <c r="DY176" s="405"/>
      <c r="DZ176" s="405"/>
      <c r="EA176" s="405"/>
      <c r="EB176" s="405"/>
      <c r="EC176" s="405"/>
      <c r="ED176" s="405"/>
      <c r="EE176" s="405"/>
      <c r="EF176" s="405"/>
      <c r="EG176" s="405"/>
      <c r="EH176" s="405"/>
      <c r="EI176" s="405"/>
      <c r="EJ176" s="405"/>
      <c r="EK176" s="405"/>
      <c r="EL176" s="405"/>
      <c r="EM176" s="405"/>
      <c r="EN176" s="405"/>
    </row>
    <row r="177" spans="2:144" ht="15" customHeight="1" outlineLevel="1">
      <c r="B177" s="256"/>
      <c r="C177" s="411" t="str">
        <f>G22</f>
        <v>[Selection]</v>
      </c>
      <c r="D177" s="411"/>
      <c r="E177" s="411" t="str">
        <f>E100</f>
        <v>Consumption per year:</v>
      </c>
      <c r="F177" s="258">
        <v>0</v>
      </c>
      <c r="G177" s="411" t="str">
        <f>VLOOKUP(B177,Hidden_Database!$C$11:$I$75,3,FALSE)</f>
        <v>[kg]</v>
      </c>
      <c r="H177" s="411"/>
      <c r="J177" s="474"/>
      <c r="U177" s="405"/>
      <c r="V177" s="405"/>
      <c r="W177" s="405"/>
      <c r="X177" s="405"/>
      <c r="Y177" s="405"/>
      <c r="Z177" s="405"/>
      <c r="AA177" s="405"/>
      <c r="AB177" s="405"/>
      <c r="AC177" s="405"/>
      <c r="AD177" s="405"/>
      <c r="AE177" s="405"/>
      <c r="AF177" s="405"/>
      <c r="AG177" s="405"/>
      <c r="AH177" s="405"/>
      <c r="AI177" s="405"/>
      <c r="AJ177" s="405"/>
      <c r="AK177" s="405"/>
      <c r="AL177" s="405"/>
      <c r="AM177" s="405"/>
      <c r="AN177" s="405"/>
      <c r="AO177" s="405"/>
      <c r="AP177" s="405"/>
      <c r="AQ177" s="405"/>
      <c r="AR177" s="405"/>
      <c r="AS177" s="405"/>
      <c r="AT177" s="405"/>
      <c r="AU177" s="405"/>
      <c r="AV177" s="405"/>
      <c r="AW177" s="405"/>
      <c r="AX177" s="405"/>
      <c r="AY177" s="405"/>
      <c r="AZ177" s="405"/>
      <c r="BA177" s="405"/>
      <c r="BB177" s="405"/>
      <c r="BC177" s="405"/>
      <c r="BD177" s="405"/>
      <c r="BE177" s="405"/>
      <c r="BF177" s="405"/>
      <c r="BG177" s="405"/>
      <c r="BH177" s="405"/>
      <c r="BI177" s="405"/>
      <c r="BJ177" s="405"/>
      <c r="BK177" s="405"/>
      <c r="BL177" s="405"/>
      <c r="BM177" s="405"/>
      <c r="BN177" s="405"/>
      <c r="BO177" s="405"/>
      <c r="BP177" s="405"/>
      <c r="BQ177" s="405"/>
      <c r="BR177" s="405"/>
      <c r="BS177" s="405"/>
      <c r="BT177" s="405"/>
      <c r="BU177" s="405"/>
      <c r="BV177" s="405"/>
      <c r="BW177" s="405"/>
      <c r="BX177" s="405"/>
      <c r="BY177" s="405"/>
      <c r="BZ177" s="405"/>
      <c r="CA177" s="405"/>
      <c r="CB177" s="405"/>
      <c r="CC177" s="405"/>
      <c r="CD177" s="405"/>
      <c r="CE177" s="405"/>
      <c r="CF177" s="405"/>
      <c r="CG177" s="405"/>
      <c r="CH177" s="405"/>
      <c r="CI177" s="405"/>
      <c r="CJ177" s="405"/>
      <c r="CK177" s="405"/>
      <c r="CL177" s="405"/>
      <c r="CM177" s="405"/>
      <c r="CN177" s="405"/>
      <c r="CO177" s="405"/>
      <c r="CP177" s="405"/>
      <c r="CQ177" s="405"/>
      <c r="CR177" s="405"/>
      <c r="CS177" s="405"/>
      <c r="CT177" s="405"/>
      <c r="CU177" s="405"/>
      <c r="CV177" s="405"/>
      <c r="CW177" s="405"/>
      <c r="CX177" s="405"/>
      <c r="CY177" s="405"/>
      <c r="CZ177" s="405"/>
      <c r="DA177" s="405"/>
      <c r="DB177" s="405"/>
      <c r="DC177" s="405"/>
      <c r="DD177" s="405"/>
      <c r="DE177" s="405"/>
      <c r="DF177" s="405"/>
      <c r="DG177" s="405"/>
      <c r="DH177" s="405"/>
      <c r="DI177" s="405"/>
      <c r="DJ177" s="405"/>
      <c r="DK177" s="405"/>
      <c r="DL177" s="405"/>
      <c r="DM177" s="405"/>
      <c r="DN177" s="405"/>
      <c r="DO177" s="405"/>
      <c r="DP177" s="405"/>
      <c r="DQ177" s="405"/>
      <c r="DR177" s="405"/>
      <c r="DS177" s="405"/>
      <c r="DT177" s="405"/>
      <c r="DU177" s="405"/>
      <c r="DV177" s="405"/>
      <c r="DW177" s="405"/>
      <c r="DX177" s="405"/>
      <c r="DY177" s="405"/>
      <c r="DZ177" s="405"/>
      <c r="EA177" s="405"/>
      <c r="EB177" s="405"/>
      <c r="EC177" s="405"/>
      <c r="ED177" s="405"/>
      <c r="EE177" s="405"/>
      <c r="EF177" s="405"/>
      <c r="EG177" s="405"/>
      <c r="EH177" s="405"/>
      <c r="EI177" s="405"/>
      <c r="EJ177" s="405"/>
      <c r="EK177" s="405"/>
      <c r="EL177" s="405"/>
      <c r="EM177" s="405"/>
      <c r="EN177" s="405"/>
    </row>
    <row r="178" spans="2:144" ht="15" customHeight="1" outlineLevel="1">
      <c r="B178" s="445"/>
      <c r="C178" s="413"/>
      <c r="D178" s="413"/>
      <c r="E178" s="413"/>
      <c r="F178" s="466"/>
      <c r="G178" s="413"/>
      <c r="H178" s="404"/>
      <c r="J178" s="474"/>
      <c r="U178" s="405"/>
      <c r="V178" s="405"/>
      <c r="W178" s="405"/>
      <c r="X178" s="405"/>
      <c r="Y178" s="405"/>
      <c r="Z178" s="405"/>
      <c r="AA178" s="405"/>
      <c r="AB178" s="405"/>
      <c r="AC178" s="405"/>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5"/>
      <c r="AY178" s="405"/>
      <c r="AZ178" s="405"/>
      <c r="BA178" s="405"/>
      <c r="BB178" s="405"/>
      <c r="BC178" s="405"/>
      <c r="BD178" s="405"/>
      <c r="BE178" s="405"/>
      <c r="BF178" s="405"/>
      <c r="BG178" s="405"/>
      <c r="BH178" s="405"/>
      <c r="BI178" s="405"/>
      <c r="BJ178" s="405"/>
      <c r="BK178" s="405"/>
      <c r="BL178" s="405"/>
      <c r="BM178" s="405"/>
      <c r="BN178" s="405"/>
      <c r="BO178" s="405"/>
      <c r="BP178" s="405"/>
      <c r="BQ178" s="405"/>
      <c r="BR178" s="405"/>
      <c r="BS178" s="405"/>
      <c r="BT178" s="405"/>
      <c r="BU178" s="405"/>
      <c r="BV178" s="405"/>
      <c r="BW178" s="405"/>
      <c r="BX178" s="405"/>
      <c r="BY178" s="405"/>
      <c r="BZ178" s="405"/>
      <c r="CA178" s="405"/>
      <c r="CB178" s="405"/>
      <c r="CC178" s="405"/>
      <c r="CD178" s="405"/>
      <c r="CE178" s="405"/>
      <c r="CF178" s="405"/>
      <c r="CG178" s="405"/>
      <c r="CH178" s="405"/>
      <c r="CI178" s="405"/>
      <c r="CJ178" s="405"/>
      <c r="CK178" s="405"/>
      <c r="CL178" s="405"/>
      <c r="CM178" s="405"/>
      <c r="CN178" s="405"/>
      <c r="CO178" s="405"/>
      <c r="CP178" s="405"/>
      <c r="CQ178" s="405"/>
      <c r="CR178" s="405"/>
      <c r="CS178" s="405"/>
      <c r="CT178" s="405"/>
      <c r="CU178" s="405"/>
      <c r="CV178" s="405"/>
      <c r="CW178" s="405"/>
      <c r="CX178" s="405"/>
      <c r="CY178" s="405"/>
      <c r="CZ178" s="405"/>
      <c r="DA178" s="405"/>
      <c r="DB178" s="405"/>
      <c r="DC178" s="405"/>
      <c r="DD178" s="405"/>
      <c r="DE178" s="405"/>
      <c r="DF178" s="405"/>
      <c r="DG178" s="405"/>
      <c r="DH178" s="405"/>
      <c r="DI178" s="405"/>
      <c r="DJ178" s="405"/>
      <c r="DK178" s="405"/>
      <c r="DL178" s="405"/>
      <c r="DM178" s="405"/>
      <c r="DN178" s="405"/>
      <c r="DO178" s="405"/>
      <c r="DP178" s="405"/>
      <c r="DQ178" s="405"/>
      <c r="DR178" s="405"/>
      <c r="DS178" s="405"/>
      <c r="DT178" s="405"/>
      <c r="DU178" s="405"/>
      <c r="DV178" s="405"/>
      <c r="DW178" s="405"/>
      <c r="DX178" s="405"/>
      <c r="DY178" s="405"/>
      <c r="DZ178" s="405"/>
      <c r="EA178" s="405"/>
      <c r="EB178" s="405"/>
      <c r="EC178" s="405"/>
      <c r="ED178" s="405"/>
      <c r="EE178" s="405"/>
      <c r="EF178" s="405"/>
      <c r="EG178" s="405"/>
      <c r="EH178" s="405"/>
      <c r="EI178" s="405"/>
      <c r="EJ178" s="405"/>
      <c r="EK178" s="405"/>
      <c r="EL178" s="405"/>
      <c r="EM178" s="405"/>
      <c r="EN178" s="405"/>
    </row>
    <row r="179" spans="2:144" ht="15" customHeight="1" outlineLevel="1">
      <c r="B179" s="411" t="str">
        <f>B151</f>
        <v>Water consumption per year</v>
      </c>
      <c r="C179" s="411"/>
      <c r="D179" s="411"/>
      <c r="E179" s="411" t="str">
        <f>E100</f>
        <v>Consumption per year:</v>
      </c>
      <c r="F179" s="258">
        <v>0</v>
      </c>
      <c r="G179" s="411" t="str">
        <f>G151</f>
        <v>[m³]</v>
      </c>
      <c r="H179" s="411"/>
      <c r="J179" s="474"/>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5"/>
      <c r="BO179" s="405"/>
      <c r="BP179" s="405"/>
      <c r="BQ179" s="405"/>
      <c r="BR179" s="405"/>
      <c r="BS179" s="405"/>
      <c r="BT179" s="405"/>
      <c r="BU179" s="405"/>
      <c r="BV179" s="405"/>
      <c r="BW179" s="405"/>
      <c r="BX179" s="405"/>
      <c r="BY179" s="405"/>
      <c r="BZ179" s="405"/>
      <c r="CA179" s="405"/>
      <c r="CB179" s="405"/>
      <c r="CC179" s="405"/>
      <c r="CD179" s="405"/>
      <c r="CE179" s="405"/>
      <c r="CF179" s="405"/>
      <c r="CG179" s="405"/>
      <c r="CH179" s="405"/>
      <c r="CI179" s="405"/>
      <c r="CJ179" s="405"/>
      <c r="CK179" s="405"/>
      <c r="CL179" s="405"/>
      <c r="CM179" s="405"/>
      <c r="CN179" s="405"/>
      <c r="CO179" s="405"/>
      <c r="CP179" s="405"/>
      <c r="CQ179" s="405"/>
      <c r="CR179" s="405"/>
      <c r="CS179" s="405"/>
      <c r="CT179" s="405"/>
      <c r="CU179" s="405"/>
      <c r="CV179" s="405"/>
      <c r="CW179" s="405"/>
      <c r="CX179" s="405"/>
      <c r="CY179" s="405"/>
      <c r="CZ179" s="405"/>
      <c r="DA179" s="405"/>
      <c r="DB179" s="405"/>
      <c r="DC179" s="405"/>
      <c r="DD179" s="405"/>
      <c r="DE179" s="405"/>
      <c r="DF179" s="405"/>
      <c r="DG179" s="405"/>
      <c r="DH179" s="405"/>
      <c r="DI179" s="405"/>
      <c r="DJ179" s="405"/>
      <c r="DK179" s="405"/>
      <c r="DL179" s="405"/>
      <c r="DM179" s="405"/>
      <c r="DN179" s="405"/>
      <c r="DO179" s="405"/>
      <c r="DP179" s="405"/>
      <c r="DQ179" s="405"/>
      <c r="DR179" s="405"/>
      <c r="DS179" s="405"/>
      <c r="DT179" s="405"/>
      <c r="DU179" s="405"/>
      <c r="DV179" s="405"/>
      <c r="DW179" s="405"/>
      <c r="DX179" s="405"/>
      <c r="DY179" s="405"/>
      <c r="DZ179" s="405"/>
      <c r="EA179" s="405"/>
      <c r="EB179" s="405"/>
      <c r="EC179" s="405"/>
      <c r="ED179" s="405"/>
      <c r="EE179" s="405"/>
      <c r="EF179" s="405"/>
      <c r="EG179" s="405"/>
      <c r="EH179" s="405"/>
      <c r="EI179" s="405"/>
      <c r="EJ179" s="405"/>
      <c r="EK179" s="405"/>
      <c r="EL179" s="405"/>
      <c r="EM179" s="405"/>
      <c r="EN179" s="405"/>
    </row>
    <row r="180" spans="2:144" ht="15" customHeight="1" outlineLevel="1">
      <c r="B180" s="466"/>
      <c r="C180" s="413"/>
      <c r="D180" s="413"/>
      <c r="E180" s="413"/>
      <c r="F180" s="466"/>
      <c r="G180" s="413"/>
      <c r="H180" s="404"/>
      <c r="J180" s="474"/>
      <c r="U180" s="405"/>
      <c r="V180" s="405"/>
      <c r="W180" s="405"/>
      <c r="X180" s="405"/>
      <c r="Y180" s="405"/>
      <c r="Z180" s="405"/>
      <c r="AA180" s="405"/>
      <c r="AB180" s="405"/>
      <c r="AC180" s="405"/>
      <c r="AD180" s="405"/>
      <c r="AE180" s="405"/>
      <c r="AF180" s="405"/>
      <c r="AG180" s="405"/>
      <c r="AH180" s="405"/>
      <c r="AI180" s="405"/>
      <c r="AJ180" s="405"/>
      <c r="AK180" s="405"/>
      <c r="AL180" s="405"/>
      <c r="AM180" s="405"/>
      <c r="AN180" s="405"/>
      <c r="AO180" s="405"/>
      <c r="AP180" s="405"/>
      <c r="AQ180" s="405"/>
      <c r="AR180" s="405"/>
      <c r="AS180" s="405"/>
      <c r="AT180" s="405"/>
      <c r="AU180" s="405"/>
      <c r="AV180" s="405"/>
      <c r="AW180" s="405"/>
      <c r="AX180" s="405"/>
      <c r="AY180" s="405"/>
      <c r="AZ180" s="405"/>
      <c r="BA180" s="405"/>
      <c r="BB180" s="405"/>
      <c r="BC180" s="405"/>
      <c r="BD180" s="405"/>
      <c r="BE180" s="405"/>
      <c r="BF180" s="405"/>
      <c r="BG180" s="405"/>
      <c r="BH180" s="405"/>
      <c r="BI180" s="405"/>
      <c r="BJ180" s="405"/>
      <c r="BK180" s="405"/>
      <c r="BL180" s="405"/>
      <c r="BM180" s="405"/>
      <c r="BN180" s="405"/>
      <c r="BO180" s="405"/>
      <c r="BP180" s="405"/>
      <c r="BQ180" s="405"/>
      <c r="BR180" s="405"/>
      <c r="BS180" s="405"/>
      <c r="BT180" s="405"/>
      <c r="BU180" s="405"/>
      <c r="BV180" s="405"/>
      <c r="BW180" s="405"/>
      <c r="BX180" s="405"/>
      <c r="BY180" s="405"/>
      <c r="BZ180" s="405"/>
      <c r="CA180" s="405"/>
      <c r="CB180" s="405"/>
      <c r="CC180" s="405"/>
      <c r="CD180" s="405"/>
      <c r="CE180" s="405"/>
      <c r="CF180" s="405"/>
      <c r="CG180" s="405"/>
      <c r="CH180" s="405"/>
      <c r="CI180" s="405"/>
      <c r="CJ180" s="405"/>
      <c r="CK180" s="405"/>
      <c r="CL180" s="405"/>
      <c r="CM180" s="405"/>
      <c r="CN180" s="405"/>
      <c r="CO180" s="405"/>
      <c r="CP180" s="405"/>
      <c r="CQ180" s="405"/>
      <c r="CR180" s="405"/>
      <c r="CS180" s="405"/>
      <c r="CT180" s="405"/>
      <c r="CU180" s="405"/>
      <c r="CV180" s="405"/>
      <c r="CW180" s="405"/>
      <c r="CX180" s="405"/>
      <c r="CY180" s="405"/>
      <c r="CZ180" s="405"/>
      <c r="DA180" s="405"/>
      <c r="DB180" s="405"/>
      <c r="DC180" s="405"/>
      <c r="DD180" s="405"/>
      <c r="DE180" s="405"/>
      <c r="DF180" s="405"/>
      <c r="DG180" s="405"/>
      <c r="DH180" s="405"/>
      <c r="DI180" s="405"/>
      <c r="DJ180" s="405"/>
      <c r="DK180" s="405"/>
      <c r="DL180" s="405"/>
      <c r="DM180" s="405"/>
      <c r="DN180" s="405"/>
      <c r="DO180" s="405"/>
      <c r="DP180" s="405"/>
      <c r="DQ180" s="405"/>
      <c r="DR180" s="405"/>
      <c r="DS180" s="405"/>
      <c r="DT180" s="405"/>
      <c r="DU180" s="405"/>
      <c r="DV180" s="405"/>
      <c r="DW180" s="405"/>
      <c r="DX180" s="405"/>
      <c r="DY180" s="405"/>
      <c r="DZ180" s="405"/>
      <c r="EA180" s="405"/>
      <c r="EB180" s="405"/>
      <c r="EC180" s="405"/>
      <c r="ED180" s="405"/>
      <c r="EE180" s="405"/>
      <c r="EF180" s="405"/>
      <c r="EG180" s="405"/>
      <c r="EH180" s="405"/>
      <c r="EI180" s="405"/>
      <c r="EJ180" s="405"/>
      <c r="EK180" s="405"/>
      <c r="EL180" s="405"/>
      <c r="EM180" s="405"/>
      <c r="EN180" s="405"/>
    </row>
    <row r="181" spans="2:144" ht="15" customHeight="1" outlineLevel="1">
      <c r="B181" s="411" t="str">
        <f>B153</f>
        <v>Type of refrigerant</v>
      </c>
      <c r="C181" s="411"/>
      <c r="D181" s="411"/>
      <c r="E181" s="411"/>
      <c r="F181" s="257" t="s">
        <v>249</v>
      </c>
      <c r="G181" s="411" t="str">
        <f>G153</f>
        <v>[Selection]</v>
      </c>
      <c r="H181" s="411"/>
      <c r="J181" s="474"/>
      <c r="U181" s="405"/>
      <c r="V181" s="405"/>
      <c r="W181" s="405"/>
      <c r="X181" s="405"/>
      <c r="Y181" s="405"/>
      <c r="Z181" s="405"/>
      <c r="AA181" s="405"/>
      <c r="AB181" s="405"/>
      <c r="AC181" s="405"/>
      <c r="AD181" s="405"/>
      <c r="AE181" s="405"/>
      <c r="AF181" s="405"/>
      <c r="AG181" s="405"/>
      <c r="AH181" s="405"/>
      <c r="AI181" s="405"/>
      <c r="AJ181" s="405"/>
      <c r="AK181" s="405"/>
      <c r="AL181" s="405"/>
      <c r="AM181" s="405"/>
      <c r="AN181" s="405"/>
      <c r="AO181" s="405"/>
      <c r="AP181" s="405"/>
      <c r="AQ181" s="405"/>
      <c r="AR181" s="405"/>
      <c r="AS181" s="405"/>
      <c r="AT181" s="405"/>
      <c r="AU181" s="405"/>
      <c r="AV181" s="405"/>
      <c r="AW181" s="405"/>
      <c r="AX181" s="405"/>
      <c r="AY181" s="405"/>
      <c r="AZ181" s="405"/>
      <c r="BA181" s="405"/>
      <c r="BB181" s="405"/>
      <c r="BC181" s="405"/>
      <c r="BD181" s="405"/>
      <c r="BE181" s="405"/>
      <c r="BF181" s="405"/>
      <c r="BG181" s="405"/>
      <c r="BH181" s="405"/>
      <c r="BI181" s="405"/>
      <c r="BJ181" s="405"/>
      <c r="BK181" s="405"/>
      <c r="BL181" s="405"/>
      <c r="BM181" s="405"/>
      <c r="BN181" s="405"/>
      <c r="BO181" s="405"/>
      <c r="BP181" s="405"/>
      <c r="BQ181" s="405"/>
      <c r="BR181" s="405"/>
      <c r="BS181" s="405"/>
      <c r="BT181" s="405"/>
      <c r="BU181" s="405"/>
      <c r="BV181" s="405"/>
      <c r="BW181" s="405"/>
      <c r="BX181" s="405"/>
      <c r="BY181" s="405"/>
      <c r="BZ181" s="405"/>
      <c r="CA181" s="405"/>
      <c r="CB181" s="405"/>
      <c r="CC181" s="405"/>
      <c r="CD181" s="405"/>
      <c r="CE181" s="405"/>
      <c r="CF181" s="405"/>
      <c r="CG181" s="405"/>
      <c r="CH181" s="405"/>
      <c r="CI181" s="405"/>
      <c r="CJ181" s="405"/>
      <c r="CK181" s="405"/>
      <c r="CL181" s="405"/>
      <c r="CM181" s="405"/>
      <c r="CN181" s="405"/>
      <c r="CO181" s="405"/>
      <c r="CP181" s="405"/>
      <c r="CQ181" s="405"/>
      <c r="CR181" s="405"/>
      <c r="CS181" s="405"/>
      <c r="CT181" s="405"/>
      <c r="CU181" s="405"/>
      <c r="CV181" s="405"/>
      <c r="CW181" s="405"/>
      <c r="CX181" s="405"/>
      <c r="CY181" s="405"/>
      <c r="CZ181" s="405"/>
      <c r="DA181" s="405"/>
      <c r="DB181" s="405"/>
      <c r="DC181" s="405"/>
      <c r="DD181" s="405"/>
      <c r="DE181" s="405"/>
      <c r="DF181" s="405"/>
      <c r="DG181" s="405"/>
      <c r="DH181" s="405"/>
      <c r="DI181" s="405"/>
      <c r="DJ181" s="405"/>
      <c r="DK181" s="405"/>
      <c r="DL181" s="405"/>
      <c r="DM181" s="405"/>
      <c r="DN181" s="405"/>
      <c r="DO181" s="405"/>
      <c r="DP181" s="405"/>
      <c r="DQ181" s="405"/>
      <c r="DR181" s="405"/>
      <c r="DS181" s="405"/>
      <c r="DT181" s="405"/>
      <c r="DU181" s="405"/>
      <c r="DV181" s="405"/>
      <c r="DW181" s="405"/>
      <c r="DX181" s="405"/>
      <c r="DY181" s="405"/>
      <c r="DZ181" s="405"/>
      <c r="EA181" s="405"/>
      <c r="EB181" s="405"/>
      <c r="EC181" s="405"/>
      <c r="ED181" s="405"/>
      <c r="EE181" s="405"/>
      <c r="EF181" s="405"/>
      <c r="EG181" s="405"/>
      <c r="EH181" s="405"/>
      <c r="EI181" s="405"/>
      <c r="EJ181" s="405"/>
      <c r="EK181" s="405"/>
      <c r="EL181" s="405"/>
      <c r="EM181" s="405"/>
      <c r="EN181" s="405"/>
    </row>
    <row r="182" spans="2:144" ht="15" customHeight="1" outlineLevel="1">
      <c r="B182" s="411" t="str">
        <f>B154</f>
        <v>Initial annual precharge</v>
      </c>
      <c r="C182" s="411"/>
      <c r="D182" s="411"/>
      <c r="E182" s="411"/>
      <c r="F182" s="258">
        <v>0</v>
      </c>
      <c r="G182" s="411" t="str">
        <f>G154</f>
        <v>[kg]</v>
      </c>
      <c r="H182" s="411"/>
      <c r="J182" s="474"/>
      <c r="U182" s="405"/>
      <c r="V182" s="405"/>
      <c r="W182" s="405"/>
      <c r="X182" s="405"/>
      <c r="Y182" s="405"/>
      <c r="Z182" s="405"/>
      <c r="AA182" s="405"/>
      <c r="AB182" s="405"/>
      <c r="AC182" s="405"/>
      <c r="AD182" s="405"/>
      <c r="AE182" s="405"/>
      <c r="AF182" s="405"/>
      <c r="AG182" s="405"/>
      <c r="AH182" s="405"/>
      <c r="AI182" s="405"/>
      <c r="AJ182" s="405"/>
      <c r="AK182" s="405"/>
      <c r="AL182" s="405"/>
      <c r="AM182" s="405"/>
      <c r="AN182" s="405"/>
      <c r="AO182" s="405"/>
      <c r="AP182" s="405"/>
      <c r="AQ182" s="405"/>
      <c r="AR182" s="405"/>
      <c r="AS182" s="405"/>
      <c r="AT182" s="405"/>
      <c r="AU182" s="405"/>
      <c r="AV182" s="405"/>
      <c r="AW182" s="405"/>
      <c r="AX182" s="405"/>
      <c r="AY182" s="405"/>
      <c r="AZ182" s="405"/>
      <c r="BA182" s="405"/>
      <c r="BB182" s="405"/>
      <c r="BC182" s="405"/>
      <c r="BD182" s="405"/>
      <c r="BE182" s="405"/>
      <c r="BF182" s="405"/>
      <c r="BG182" s="405"/>
      <c r="BH182" s="405"/>
      <c r="BI182" s="405"/>
      <c r="BJ182" s="405"/>
      <c r="BK182" s="405"/>
      <c r="BL182" s="405"/>
      <c r="BM182" s="405"/>
      <c r="BN182" s="405"/>
      <c r="BO182" s="405"/>
      <c r="BP182" s="405"/>
      <c r="BQ182" s="405"/>
      <c r="BR182" s="405"/>
      <c r="BS182" s="405"/>
      <c r="BT182" s="405"/>
      <c r="BU182" s="405"/>
      <c r="BV182" s="405"/>
      <c r="BW182" s="405"/>
      <c r="BX182" s="405"/>
      <c r="BY182" s="405"/>
      <c r="BZ182" s="405"/>
      <c r="CA182" s="405"/>
      <c r="CB182" s="405"/>
      <c r="CC182" s="405"/>
      <c r="CD182" s="405"/>
      <c r="CE182" s="405"/>
      <c r="CF182" s="405"/>
      <c r="CG182" s="405"/>
      <c r="CH182" s="405"/>
      <c r="CI182" s="405"/>
      <c r="CJ182" s="405"/>
      <c r="CK182" s="405"/>
      <c r="CL182" s="405"/>
      <c r="CM182" s="405"/>
      <c r="CN182" s="405"/>
      <c r="CO182" s="405"/>
      <c r="CP182" s="405"/>
      <c r="CQ182" s="405"/>
      <c r="CR182" s="405"/>
      <c r="CS182" s="405"/>
      <c r="CT182" s="405"/>
      <c r="CU182" s="405"/>
      <c r="CV182" s="405"/>
      <c r="CW182" s="405"/>
      <c r="CX182" s="405"/>
      <c r="CY182" s="405"/>
      <c r="CZ182" s="405"/>
      <c r="DA182" s="405"/>
      <c r="DB182" s="405"/>
      <c r="DC182" s="405"/>
      <c r="DD182" s="405"/>
      <c r="DE182" s="405"/>
      <c r="DF182" s="405"/>
      <c r="DG182" s="405"/>
      <c r="DH182" s="405"/>
      <c r="DI182" s="405"/>
      <c r="DJ182" s="405"/>
      <c r="DK182" s="405"/>
      <c r="DL182" s="405"/>
      <c r="DM182" s="405"/>
      <c r="DN182" s="405"/>
      <c r="DO182" s="405"/>
      <c r="DP182" s="405"/>
      <c r="DQ182" s="405"/>
      <c r="DR182" s="405"/>
      <c r="DS182" s="405"/>
      <c r="DT182" s="405"/>
      <c r="DU182" s="405"/>
      <c r="DV182" s="405"/>
      <c r="DW182" s="405"/>
      <c r="DX182" s="405"/>
      <c r="DY182" s="405"/>
      <c r="DZ182" s="405"/>
      <c r="EA182" s="405"/>
      <c r="EB182" s="405"/>
      <c r="EC182" s="405"/>
      <c r="ED182" s="405"/>
      <c r="EE182" s="405"/>
      <c r="EF182" s="405"/>
      <c r="EG182" s="405"/>
      <c r="EH182" s="405"/>
      <c r="EI182" s="405"/>
      <c r="EJ182" s="405"/>
      <c r="EK182" s="405"/>
      <c r="EL182" s="405"/>
      <c r="EM182" s="405"/>
      <c r="EN182" s="405"/>
    </row>
    <row r="183" spans="2:144" ht="15" customHeight="1" outlineLevel="1">
      <c r="B183" s="467"/>
      <c r="C183" s="80"/>
      <c r="D183" s="404"/>
      <c r="E183" s="404"/>
      <c r="F183" s="413"/>
      <c r="G183" s="413"/>
      <c r="H183" s="403"/>
      <c r="J183" s="403"/>
      <c r="U183" s="405"/>
      <c r="V183" s="405"/>
      <c r="W183" s="405"/>
      <c r="X183" s="405"/>
      <c r="Y183" s="405"/>
      <c r="Z183" s="405"/>
      <c r="AA183" s="405"/>
      <c r="AB183" s="405"/>
      <c r="AC183" s="405"/>
      <c r="AD183" s="405"/>
      <c r="AE183" s="405"/>
      <c r="AF183" s="405"/>
      <c r="AG183" s="405"/>
      <c r="AH183" s="405"/>
      <c r="AI183" s="405"/>
      <c r="AJ183" s="405"/>
      <c r="AK183" s="405"/>
      <c r="AL183" s="405"/>
      <c r="AM183" s="405"/>
      <c r="AN183" s="405"/>
      <c r="AO183" s="405"/>
      <c r="AP183" s="405"/>
      <c r="AQ183" s="405"/>
      <c r="AR183" s="405"/>
      <c r="AS183" s="405"/>
      <c r="AT183" s="405"/>
      <c r="AU183" s="405"/>
      <c r="AV183" s="405"/>
      <c r="AW183" s="405"/>
      <c r="AX183" s="405"/>
      <c r="AY183" s="405"/>
      <c r="AZ183" s="405"/>
      <c r="BA183" s="405"/>
      <c r="BB183" s="405"/>
      <c r="BC183" s="405"/>
      <c r="BD183" s="405"/>
      <c r="BE183" s="405"/>
      <c r="BF183" s="405"/>
      <c r="BG183" s="405"/>
      <c r="BH183" s="405"/>
      <c r="BI183" s="405"/>
      <c r="BJ183" s="405"/>
      <c r="BK183" s="405"/>
      <c r="BL183" s="405"/>
      <c r="BM183" s="405"/>
      <c r="BN183" s="405"/>
      <c r="BO183" s="405"/>
      <c r="BP183" s="405"/>
      <c r="BQ183" s="405"/>
      <c r="BR183" s="405"/>
      <c r="BS183" s="405"/>
      <c r="BT183" s="405"/>
      <c r="BU183" s="405"/>
      <c r="BV183" s="405"/>
      <c r="BW183" s="405"/>
      <c r="BX183" s="405"/>
      <c r="BY183" s="405"/>
      <c r="BZ183" s="405"/>
      <c r="CA183" s="405"/>
      <c r="CB183" s="405"/>
      <c r="CC183" s="405"/>
      <c r="CD183" s="405"/>
      <c r="CE183" s="405"/>
      <c r="CF183" s="405"/>
      <c r="CG183" s="405"/>
      <c r="CH183" s="405"/>
      <c r="CI183" s="405"/>
      <c r="CJ183" s="405"/>
      <c r="CK183" s="405"/>
      <c r="CL183" s="405"/>
      <c r="CM183" s="405"/>
      <c r="CN183" s="405"/>
      <c r="CO183" s="405"/>
      <c r="CP183" s="405"/>
      <c r="CQ183" s="405"/>
      <c r="CR183" s="405"/>
      <c r="CS183" s="405"/>
      <c r="CT183" s="405"/>
      <c r="CU183" s="405"/>
      <c r="CV183" s="405"/>
      <c r="CW183" s="405"/>
      <c r="CX183" s="405"/>
      <c r="CY183" s="405"/>
      <c r="CZ183" s="405"/>
      <c r="DA183" s="405"/>
      <c r="DB183" s="405"/>
      <c r="DC183" s="405"/>
      <c r="DD183" s="405"/>
      <c r="DE183" s="405"/>
      <c r="DF183" s="405"/>
      <c r="DG183" s="405"/>
      <c r="DH183" s="405"/>
      <c r="DI183" s="405"/>
      <c r="DJ183" s="405"/>
      <c r="DK183" s="405"/>
      <c r="DL183" s="405"/>
      <c r="DM183" s="405"/>
      <c r="DN183" s="405"/>
      <c r="DO183" s="405"/>
      <c r="DP183" s="405"/>
      <c r="DQ183" s="405"/>
      <c r="DR183" s="405"/>
      <c r="DS183" s="405"/>
      <c r="DT183" s="405"/>
      <c r="DU183" s="405"/>
      <c r="DV183" s="405"/>
      <c r="DW183" s="405"/>
      <c r="DX183" s="405"/>
      <c r="DY183" s="405"/>
      <c r="DZ183" s="405"/>
      <c r="EA183" s="405"/>
      <c r="EB183" s="405"/>
      <c r="EC183" s="405"/>
      <c r="ED183" s="405"/>
      <c r="EE183" s="405"/>
      <c r="EF183" s="405"/>
      <c r="EG183" s="405"/>
      <c r="EH183" s="405"/>
      <c r="EI183" s="405"/>
      <c r="EJ183" s="405"/>
      <c r="EK183" s="405"/>
      <c r="EL183" s="405"/>
      <c r="EM183" s="405"/>
      <c r="EN183" s="405"/>
    </row>
    <row r="184" spans="2:144" ht="15" customHeight="1">
      <c r="B184" s="448" t="str">
        <f>VLOOKUP("Input_4_Header",Hidden_Translations!$B$11:$J$1184,Hidden_Translations!$C$8,FALSE)</f>
        <v>#4: Single drop transport (to distribution center)</v>
      </c>
      <c r="C184" s="459"/>
      <c r="D184" s="459"/>
      <c r="E184" s="459"/>
      <c r="F184" s="459"/>
      <c r="G184" s="459"/>
      <c r="H184" s="459"/>
      <c r="J184" s="474"/>
      <c r="U184" s="405"/>
      <c r="V184" s="405"/>
      <c r="W184" s="405"/>
      <c r="X184" s="405"/>
      <c r="Y184" s="405"/>
      <c r="Z184" s="405"/>
      <c r="AA184" s="405"/>
      <c r="AB184" s="405"/>
      <c r="AC184" s="405"/>
      <c r="AD184" s="405"/>
      <c r="AE184" s="405"/>
      <c r="AF184" s="405"/>
      <c r="AG184" s="405"/>
      <c r="AH184" s="405"/>
      <c r="AI184" s="405"/>
      <c r="AJ184" s="405"/>
      <c r="AK184" s="405"/>
      <c r="AL184" s="405"/>
      <c r="AM184" s="405"/>
      <c r="AN184" s="405"/>
      <c r="AO184" s="405"/>
      <c r="AP184" s="405"/>
      <c r="AQ184" s="405"/>
      <c r="AR184" s="405"/>
      <c r="AS184" s="405"/>
      <c r="AT184" s="405"/>
      <c r="AU184" s="405"/>
      <c r="AV184" s="405"/>
      <c r="AW184" s="405"/>
      <c r="AX184" s="405"/>
      <c r="AY184" s="405"/>
      <c r="AZ184" s="405"/>
      <c r="BA184" s="405"/>
      <c r="BB184" s="405"/>
      <c r="BC184" s="405"/>
      <c r="BD184" s="405"/>
      <c r="BE184" s="405"/>
      <c r="BF184" s="405"/>
      <c r="BG184" s="405"/>
      <c r="BH184" s="405"/>
      <c r="BI184" s="405"/>
      <c r="BJ184" s="405"/>
      <c r="BK184" s="405"/>
      <c r="BL184" s="405"/>
      <c r="BM184" s="405"/>
      <c r="BN184" s="405"/>
      <c r="BO184" s="405"/>
      <c r="BP184" s="405"/>
      <c r="BQ184" s="405"/>
      <c r="BR184" s="405"/>
      <c r="BS184" s="405"/>
      <c r="BT184" s="405"/>
      <c r="BU184" s="405"/>
      <c r="BV184" s="405"/>
      <c r="BW184" s="405"/>
      <c r="BX184" s="405"/>
      <c r="BY184" s="405"/>
      <c r="BZ184" s="405"/>
      <c r="CA184" s="405"/>
      <c r="CB184" s="405"/>
      <c r="CC184" s="405"/>
      <c r="CD184" s="405"/>
      <c r="CE184" s="405"/>
      <c r="CF184" s="405"/>
      <c r="CG184" s="405"/>
      <c r="CH184" s="405"/>
      <c r="CI184" s="405"/>
      <c r="CJ184" s="405"/>
      <c r="CK184" s="405"/>
      <c r="CL184" s="405"/>
      <c r="CM184" s="405"/>
      <c r="CN184" s="405"/>
      <c r="CO184" s="405"/>
      <c r="CP184" s="405"/>
      <c r="CQ184" s="405"/>
      <c r="CR184" s="405"/>
      <c r="CS184" s="405"/>
      <c r="CT184" s="405"/>
      <c r="CU184" s="405"/>
      <c r="CV184" s="405"/>
      <c r="CW184" s="405"/>
      <c r="CX184" s="405"/>
      <c r="CY184" s="405"/>
      <c r="CZ184" s="405"/>
      <c r="DA184" s="405"/>
      <c r="DB184" s="405"/>
      <c r="DC184" s="405"/>
      <c r="DD184" s="405"/>
      <c r="DE184" s="405"/>
      <c r="DF184" s="405"/>
      <c r="DG184" s="405"/>
      <c r="DH184" s="405"/>
      <c r="DI184" s="405"/>
      <c r="DJ184" s="405"/>
      <c r="DK184" s="405"/>
      <c r="DL184" s="405"/>
      <c r="DM184" s="405"/>
      <c r="DN184" s="405"/>
      <c r="DO184" s="405"/>
      <c r="DP184" s="405"/>
      <c r="DQ184" s="405"/>
      <c r="DR184" s="405"/>
      <c r="DS184" s="405"/>
      <c r="DT184" s="405"/>
      <c r="DU184" s="405"/>
      <c r="DV184" s="405"/>
      <c r="DW184" s="405"/>
      <c r="DX184" s="405"/>
      <c r="DY184" s="405"/>
      <c r="DZ184" s="405"/>
      <c r="EA184" s="405"/>
      <c r="EB184" s="405"/>
      <c r="EC184" s="405"/>
      <c r="ED184" s="405"/>
      <c r="EE184" s="405"/>
      <c r="EF184" s="405"/>
      <c r="EG184" s="405"/>
      <c r="EH184" s="405"/>
      <c r="EI184" s="405"/>
      <c r="EJ184" s="405"/>
      <c r="EK184" s="405"/>
      <c r="EL184" s="405"/>
      <c r="EM184" s="405"/>
      <c r="EN184" s="405"/>
    </row>
    <row r="185" spans="2:144" ht="15" customHeight="1">
      <c r="B185" s="403"/>
      <c r="C185" s="403"/>
      <c r="D185" s="403"/>
      <c r="E185" s="403"/>
      <c r="F185" s="403"/>
      <c r="G185" s="403"/>
      <c r="H185" s="403"/>
      <c r="J185" s="474"/>
      <c r="U185" s="405"/>
      <c r="V185" s="405"/>
      <c r="W185" s="405"/>
      <c r="X185" s="405"/>
      <c r="Y185" s="405"/>
      <c r="Z185" s="405"/>
      <c r="AA185" s="405"/>
      <c r="AB185" s="405"/>
      <c r="AC185" s="405"/>
      <c r="AD185" s="405"/>
      <c r="AE185" s="405"/>
      <c r="AF185" s="405"/>
      <c r="AG185" s="405"/>
      <c r="AH185" s="405"/>
      <c r="AI185" s="405"/>
      <c r="AJ185" s="405"/>
      <c r="AK185" s="405"/>
      <c r="AL185" s="405"/>
      <c r="AM185" s="405"/>
      <c r="AN185" s="405"/>
      <c r="AO185" s="405"/>
      <c r="AP185" s="405"/>
      <c r="AQ185" s="405"/>
      <c r="AR185" s="405"/>
      <c r="AS185" s="405"/>
      <c r="AT185" s="405"/>
      <c r="AU185" s="405"/>
      <c r="AV185" s="405"/>
      <c r="AW185" s="405"/>
      <c r="AX185" s="405"/>
      <c r="AY185" s="405"/>
      <c r="AZ185" s="405"/>
      <c r="BA185" s="405"/>
      <c r="BB185" s="405"/>
      <c r="BC185" s="405"/>
      <c r="BD185" s="405"/>
      <c r="BE185" s="405"/>
      <c r="BF185" s="405"/>
      <c r="BG185" s="405"/>
      <c r="BH185" s="405"/>
      <c r="BI185" s="405"/>
      <c r="BJ185" s="405"/>
      <c r="BK185" s="405"/>
      <c r="BL185" s="405"/>
      <c r="BM185" s="405"/>
      <c r="BN185" s="405"/>
      <c r="BO185" s="405"/>
      <c r="BP185" s="405"/>
      <c r="BQ185" s="405"/>
      <c r="BR185" s="405"/>
      <c r="BS185" s="405"/>
      <c r="BT185" s="405"/>
      <c r="BU185" s="405"/>
      <c r="BV185" s="405"/>
      <c r="BW185" s="405"/>
      <c r="BX185" s="405"/>
      <c r="BY185" s="405"/>
      <c r="BZ185" s="405"/>
      <c r="CA185" s="405"/>
      <c r="CB185" s="405"/>
      <c r="CC185" s="405"/>
      <c r="CD185" s="405"/>
      <c r="CE185" s="405"/>
      <c r="CF185" s="405"/>
      <c r="CG185" s="405"/>
      <c r="CH185" s="405"/>
      <c r="CI185" s="405"/>
      <c r="CJ185" s="405"/>
      <c r="CK185" s="405"/>
      <c r="CL185" s="405"/>
      <c r="CM185" s="405"/>
      <c r="CN185" s="405"/>
      <c r="CO185" s="405"/>
      <c r="CP185" s="405"/>
      <c r="CQ185" s="405"/>
      <c r="CR185" s="405"/>
      <c r="CS185" s="405"/>
      <c r="CT185" s="405"/>
      <c r="CU185" s="405"/>
      <c r="CV185" s="405"/>
      <c r="CW185" s="405"/>
      <c r="CX185" s="405"/>
      <c r="CY185" s="405"/>
      <c r="CZ185" s="405"/>
      <c r="DA185" s="405"/>
      <c r="DB185" s="405"/>
      <c r="DC185" s="405"/>
      <c r="DD185" s="405"/>
      <c r="DE185" s="405"/>
      <c r="DF185" s="405"/>
      <c r="DG185" s="405"/>
      <c r="DH185" s="405"/>
      <c r="DI185" s="405"/>
      <c r="DJ185" s="405"/>
      <c r="DK185" s="405"/>
      <c r="DL185" s="405"/>
      <c r="DM185" s="405"/>
      <c r="DN185" s="405"/>
      <c r="DO185" s="405"/>
      <c r="DP185" s="405"/>
      <c r="DQ185" s="405"/>
      <c r="DR185" s="405"/>
      <c r="DS185" s="405"/>
      <c r="DT185" s="405"/>
      <c r="DU185" s="405"/>
      <c r="DV185" s="405"/>
      <c r="DW185" s="405"/>
      <c r="DX185" s="405"/>
      <c r="DY185" s="405"/>
      <c r="DZ185" s="405"/>
      <c r="EA185" s="405"/>
      <c r="EB185" s="405"/>
      <c r="EC185" s="405"/>
      <c r="ED185" s="405"/>
      <c r="EE185" s="405"/>
      <c r="EF185" s="405"/>
      <c r="EG185" s="405"/>
      <c r="EH185" s="405"/>
      <c r="EI185" s="405"/>
      <c r="EJ185" s="405"/>
      <c r="EK185" s="405"/>
      <c r="EL185" s="405"/>
      <c r="EM185" s="405"/>
      <c r="EN185" s="405"/>
    </row>
    <row r="186" spans="2:144" ht="15" customHeight="1" outlineLevel="1">
      <c r="B186" s="475" t="str">
        <f>VLOOKUP("Input_4_Header_Text",Hidden_Translations!$B$11:$J$1184,Hidden_Translations!$C$8,FALSE)</f>
        <v>This step adresses the transport from the supplier or - in case of global supply chain - from the last dock/airport to the distribution center.</v>
      </c>
      <c r="C186" s="403"/>
      <c r="D186" s="403"/>
      <c r="E186" s="403"/>
      <c r="F186" s="403"/>
      <c r="G186" s="403"/>
      <c r="H186" s="403"/>
      <c r="J186" s="474"/>
      <c r="U186" s="405"/>
      <c r="V186" s="405"/>
      <c r="W186" s="405"/>
      <c r="X186" s="405"/>
      <c r="Y186" s="405"/>
      <c r="Z186" s="405"/>
      <c r="AA186" s="405"/>
      <c r="AB186" s="405"/>
      <c r="AC186" s="405"/>
      <c r="AD186" s="405"/>
      <c r="AE186" s="405"/>
      <c r="AF186" s="405"/>
      <c r="AG186" s="405"/>
      <c r="AH186" s="405"/>
      <c r="AI186" s="405"/>
      <c r="AJ186" s="405"/>
      <c r="AK186" s="405"/>
      <c r="AL186" s="405"/>
      <c r="AM186" s="405"/>
      <c r="AN186" s="405"/>
      <c r="AO186" s="405"/>
      <c r="AP186" s="405"/>
      <c r="AQ186" s="405"/>
      <c r="AR186" s="405"/>
      <c r="AS186" s="405"/>
      <c r="AT186" s="405"/>
      <c r="AU186" s="405"/>
      <c r="AV186" s="405"/>
      <c r="AW186" s="405"/>
      <c r="AX186" s="405"/>
      <c r="AY186" s="405"/>
      <c r="AZ186" s="405"/>
      <c r="BA186" s="405"/>
      <c r="BB186" s="405"/>
      <c r="BC186" s="405"/>
      <c r="BD186" s="405"/>
      <c r="BE186" s="405"/>
      <c r="BF186" s="405"/>
      <c r="BG186" s="405"/>
      <c r="BH186" s="405"/>
      <c r="BI186" s="405"/>
      <c r="BJ186" s="405"/>
      <c r="BK186" s="405"/>
      <c r="BL186" s="405"/>
      <c r="BM186" s="405"/>
      <c r="BN186" s="405"/>
      <c r="BO186" s="405"/>
      <c r="BP186" s="405"/>
      <c r="BQ186" s="405"/>
      <c r="BR186" s="405"/>
      <c r="BS186" s="405"/>
      <c r="BT186" s="405"/>
      <c r="BU186" s="405"/>
      <c r="BV186" s="405"/>
      <c r="BW186" s="405"/>
      <c r="BX186" s="405"/>
      <c r="BY186" s="405"/>
      <c r="BZ186" s="405"/>
      <c r="CA186" s="405"/>
      <c r="CB186" s="405"/>
      <c r="CC186" s="405"/>
      <c r="CD186" s="405"/>
      <c r="CE186" s="405"/>
      <c r="CF186" s="405"/>
      <c r="CG186" s="405"/>
      <c r="CH186" s="405"/>
      <c r="CI186" s="405"/>
      <c r="CJ186" s="405"/>
      <c r="CK186" s="405"/>
      <c r="CL186" s="405"/>
      <c r="CM186" s="405"/>
      <c r="CN186" s="405"/>
      <c r="CO186" s="405"/>
      <c r="CP186" s="405"/>
      <c r="CQ186" s="405"/>
      <c r="CR186" s="405"/>
      <c r="CS186" s="405"/>
      <c r="CT186" s="405"/>
      <c r="CU186" s="405"/>
      <c r="CV186" s="405"/>
      <c r="CW186" s="405"/>
      <c r="CX186" s="405"/>
      <c r="CY186" s="405"/>
      <c r="CZ186" s="405"/>
      <c r="DA186" s="405"/>
      <c r="DB186" s="405"/>
      <c r="DC186" s="405"/>
      <c r="DD186" s="405"/>
      <c r="DE186" s="405"/>
      <c r="DF186" s="405"/>
      <c r="DG186" s="405"/>
      <c r="DH186" s="405"/>
      <c r="DI186" s="405"/>
      <c r="DJ186" s="405"/>
      <c r="DK186" s="405"/>
      <c r="DL186" s="405"/>
      <c r="DM186" s="405"/>
      <c r="DN186" s="405"/>
      <c r="DO186" s="405"/>
      <c r="DP186" s="405"/>
      <c r="DQ186" s="405"/>
      <c r="DR186" s="405"/>
      <c r="DS186" s="405"/>
      <c r="DT186" s="405"/>
      <c r="DU186" s="405"/>
      <c r="DV186" s="405"/>
      <c r="DW186" s="405"/>
      <c r="DX186" s="405"/>
      <c r="DY186" s="405"/>
      <c r="DZ186" s="405"/>
      <c r="EA186" s="405"/>
      <c r="EB186" s="405"/>
      <c r="EC186" s="405"/>
      <c r="ED186" s="405"/>
      <c r="EE186" s="405"/>
      <c r="EF186" s="405"/>
      <c r="EG186" s="405"/>
      <c r="EH186" s="405"/>
      <c r="EI186" s="405"/>
      <c r="EJ186" s="405"/>
      <c r="EK186" s="405"/>
      <c r="EL186" s="405"/>
      <c r="EM186" s="405"/>
      <c r="EN186" s="405"/>
    </row>
    <row r="187" spans="2:144" ht="15" customHeight="1" outlineLevel="1">
      <c r="B187" s="403"/>
      <c r="C187" s="403"/>
      <c r="D187" s="403"/>
      <c r="E187" s="403"/>
      <c r="F187" s="403"/>
      <c r="G187" s="403"/>
      <c r="H187" s="403"/>
      <c r="J187" s="403"/>
      <c r="U187" s="405"/>
      <c r="V187" s="405"/>
      <c r="W187" s="405"/>
      <c r="X187" s="405"/>
      <c r="Y187" s="405"/>
      <c r="Z187" s="405"/>
      <c r="AA187" s="405"/>
      <c r="AB187" s="405"/>
      <c r="AC187" s="405"/>
      <c r="AD187" s="405"/>
      <c r="AE187" s="405"/>
      <c r="AF187" s="405"/>
      <c r="AG187" s="405"/>
      <c r="AH187" s="405"/>
      <c r="AI187" s="405"/>
      <c r="AJ187" s="405"/>
      <c r="AK187" s="405"/>
      <c r="AL187" s="405"/>
      <c r="AM187" s="405"/>
      <c r="AN187" s="405"/>
      <c r="AO187" s="405"/>
      <c r="AP187" s="405"/>
      <c r="AQ187" s="405"/>
      <c r="AR187" s="405"/>
      <c r="AS187" s="405"/>
      <c r="AT187" s="405"/>
      <c r="AU187" s="405"/>
      <c r="AV187" s="405"/>
      <c r="AW187" s="405"/>
      <c r="AX187" s="405"/>
      <c r="AY187" s="405"/>
      <c r="AZ187" s="405"/>
      <c r="BA187" s="405"/>
      <c r="BB187" s="405"/>
      <c r="BC187" s="405"/>
      <c r="BD187" s="405"/>
      <c r="BE187" s="405"/>
      <c r="BF187" s="405"/>
      <c r="BG187" s="405"/>
      <c r="BH187" s="405"/>
      <c r="BI187" s="405"/>
      <c r="BJ187" s="405"/>
      <c r="BK187" s="405"/>
      <c r="BL187" s="405"/>
      <c r="BM187" s="405"/>
      <c r="BN187" s="405"/>
      <c r="BO187" s="405"/>
      <c r="BP187" s="405"/>
      <c r="BQ187" s="405"/>
      <c r="BR187" s="405"/>
      <c r="BS187" s="405"/>
      <c r="BT187" s="405"/>
      <c r="BU187" s="405"/>
      <c r="BV187" s="405"/>
      <c r="BW187" s="405"/>
      <c r="BX187" s="405"/>
      <c r="BY187" s="405"/>
      <c r="BZ187" s="405"/>
      <c r="CA187" s="405"/>
      <c r="CB187" s="405"/>
      <c r="CC187" s="405"/>
      <c r="CD187" s="405"/>
      <c r="CE187" s="405"/>
      <c r="CF187" s="405"/>
      <c r="CG187" s="405"/>
      <c r="CH187" s="405"/>
      <c r="CI187" s="405"/>
      <c r="CJ187" s="405"/>
      <c r="CK187" s="405"/>
      <c r="CL187" s="405"/>
      <c r="CM187" s="405"/>
      <c r="CN187" s="405"/>
      <c r="CO187" s="405"/>
      <c r="CP187" s="405"/>
      <c r="CQ187" s="405"/>
      <c r="CR187" s="405"/>
      <c r="CS187" s="405"/>
      <c r="CT187" s="405"/>
      <c r="CU187" s="405"/>
      <c r="CV187" s="405"/>
      <c r="CW187" s="405"/>
      <c r="CX187" s="405"/>
      <c r="CY187" s="405"/>
      <c r="CZ187" s="405"/>
      <c r="DA187" s="405"/>
      <c r="DB187" s="405"/>
      <c r="DC187" s="405"/>
      <c r="DD187" s="405"/>
      <c r="DE187" s="405"/>
      <c r="DF187" s="405"/>
      <c r="DG187" s="405"/>
      <c r="DH187" s="405"/>
      <c r="DI187" s="405"/>
      <c r="DJ187" s="405"/>
      <c r="DK187" s="405"/>
      <c r="DL187" s="405"/>
      <c r="DM187" s="405"/>
      <c r="DN187" s="405"/>
      <c r="DO187" s="405"/>
      <c r="DP187" s="405"/>
      <c r="DQ187" s="405"/>
      <c r="DR187" s="405"/>
      <c r="DS187" s="405"/>
      <c r="DT187" s="405"/>
      <c r="DU187" s="405"/>
      <c r="DV187" s="405"/>
      <c r="DW187" s="405"/>
      <c r="DX187" s="405"/>
      <c r="DY187" s="405"/>
      <c r="DZ187" s="405"/>
      <c r="EA187" s="405"/>
      <c r="EB187" s="405"/>
      <c r="EC187" s="405"/>
      <c r="ED187" s="405"/>
      <c r="EE187" s="405"/>
      <c r="EF187" s="405"/>
      <c r="EG187" s="405"/>
      <c r="EH187" s="405"/>
      <c r="EI187" s="405"/>
      <c r="EJ187" s="405"/>
      <c r="EK187" s="405"/>
      <c r="EL187" s="405"/>
      <c r="EM187" s="405"/>
      <c r="EN187" s="405"/>
    </row>
    <row r="188" spans="2:144" ht="15" customHeight="1" outlineLevel="1">
      <c r="B188" s="420" t="str">
        <f>B123</f>
        <v>Is refrigeration provided by auxiliary powered units in transport vehicles?</v>
      </c>
      <c r="C188" s="420"/>
      <c r="D188" s="420"/>
      <c r="E188" s="420"/>
      <c r="F188" s="253"/>
      <c r="G188" s="420" t="str">
        <f>G22</f>
        <v>[Selection]</v>
      </c>
      <c r="H188" s="420"/>
      <c r="J188" s="403"/>
      <c r="U188" s="405"/>
      <c r="V188" s="405"/>
      <c r="W188" s="405"/>
      <c r="X188" s="405"/>
      <c r="Y188" s="405"/>
      <c r="Z188" s="405"/>
      <c r="AA188" s="405"/>
      <c r="AB188" s="405"/>
      <c r="AC188" s="405"/>
      <c r="AD188" s="405"/>
      <c r="AE188" s="405"/>
      <c r="AF188" s="405"/>
      <c r="AG188" s="405"/>
      <c r="AH188" s="405"/>
      <c r="AI188" s="405"/>
      <c r="AJ188" s="405"/>
      <c r="AK188" s="405"/>
      <c r="AL188" s="405"/>
      <c r="AM188" s="405"/>
      <c r="AN188" s="405"/>
      <c r="AO188" s="405"/>
      <c r="AP188" s="405"/>
      <c r="AQ188" s="405"/>
      <c r="AR188" s="405"/>
      <c r="AS188" s="405"/>
      <c r="AT188" s="405"/>
      <c r="AU188" s="405"/>
      <c r="AV188" s="405"/>
      <c r="AW188" s="405"/>
      <c r="AX188" s="405"/>
      <c r="AY188" s="405"/>
      <c r="AZ188" s="405"/>
      <c r="BA188" s="405"/>
      <c r="BB188" s="405"/>
      <c r="BC188" s="405"/>
      <c r="BD188" s="405"/>
      <c r="BE188" s="405"/>
      <c r="BF188" s="405"/>
      <c r="BG188" s="405"/>
      <c r="BH188" s="405"/>
      <c r="BI188" s="405"/>
      <c r="BJ188" s="405"/>
      <c r="BK188" s="405"/>
      <c r="BL188" s="405"/>
      <c r="BM188" s="405"/>
      <c r="BN188" s="405"/>
      <c r="BO188" s="405"/>
      <c r="BP188" s="405"/>
      <c r="BQ188" s="405"/>
      <c r="BR188" s="405"/>
      <c r="BS188" s="405"/>
      <c r="BT188" s="405"/>
      <c r="BU188" s="405"/>
      <c r="BV188" s="405"/>
      <c r="BW188" s="405"/>
      <c r="BX188" s="405"/>
      <c r="BY188" s="405"/>
      <c r="BZ188" s="405"/>
      <c r="CA188" s="405"/>
      <c r="CB188" s="405"/>
      <c r="CC188" s="405"/>
      <c r="CD188" s="405"/>
      <c r="CE188" s="405"/>
      <c r="CF188" s="405"/>
      <c r="CG188" s="405"/>
      <c r="CH188" s="405"/>
      <c r="CI188" s="405"/>
      <c r="CJ188" s="405"/>
      <c r="CK188" s="405"/>
      <c r="CL188" s="405"/>
      <c r="CM188" s="405"/>
      <c r="CN188" s="405"/>
      <c r="CO188" s="405"/>
      <c r="CP188" s="405"/>
      <c r="CQ188" s="405"/>
      <c r="CR188" s="405"/>
      <c r="CS188" s="405"/>
      <c r="CT188" s="405"/>
      <c r="CU188" s="405"/>
      <c r="CV188" s="405"/>
      <c r="CW188" s="405"/>
      <c r="CX188" s="405"/>
      <c r="CY188" s="405"/>
      <c r="CZ188" s="405"/>
      <c r="DA188" s="405"/>
      <c r="DB188" s="405"/>
      <c r="DC188" s="405"/>
      <c r="DD188" s="405"/>
      <c r="DE188" s="405"/>
      <c r="DF188" s="405"/>
      <c r="DG188" s="405"/>
      <c r="DH188" s="405"/>
      <c r="DI188" s="405"/>
      <c r="DJ188" s="405"/>
      <c r="DK188" s="405"/>
      <c r="DL188" s="405"/>
      <c r="DM188" s="405"/>
      <c r="DN188" s="405"/>
      <c r="DO188" s="405"/>
      <c r="DP188" s="405"/>
      <c r="DQ188" s="405"/>
      <c r="DR188" s="405"/>
      <c r="DS188" s="405"/>
      <c r="DT188" s="405"/>
      <c r="DU188" s="405"/>
      <c r="DV188" s="405"/>
      <c r="DW188" s="405"/>
      <c r="DX188" s="405"/>
      <c r="DY188" s="405"/>
      <c r="DZ188" s="405"/>
      <c r="EA188" s="405"/>
      <c r="EB188" s="405"/>
      <c r="EC188" s="405"/>
      <c r="ED188" s="405"/>
      <c r="EE188" s="405"/>
      <c r="EF188" s="405"/>
      <c r="EG188" s="405"/>
      <c r="EH188" s="405"/>
      <c r="EI188" s="405"/>
      <c r="EJ188" s="405"/>
      <c r="EK188" s="405"/>
      <c r="EL188" s="405"/>
      <c r="EM188" s="405"/>
      <c r="EN188" s="405"/>
    </row>
    <row r="189" spans="2:144" ht="15" customHeight="1" outlineLevel="1">
      <c r="B189" s="404"/>
      <c r="C189" s="75"/>
      <c r="D189" s="76"/>
      <c r="E189" s="76"/>
      <c r="F189" s="76"/>
      <c r="G189" s="84"/>
      <c r="H189" s="76"/>
      <c r="J189" s="403"/>
      <c r="U189" s="405"/>
      <c r="V189" s="405"/>
      <c r="W189" s="405"/>
      <c r="X189" s="405"/>
      <c r="Y189" s="405"/>
      <c r="Z189" s="405"/>
      <c r="AA189" s="405"/>
      <c r="AB189" s="405"/>
      <c r="AC189" s="405"/>
      <c r="AD189" s="405"/>
      <c r="AE189" s="405"/>
      <c r="AF189" s="405"/>
      <c r="AG189" s="405"/>
      <c r="AH189" s="405"/>
      <c r="AI189" s="405"/>
      <c r="AJ189" s="405"/>
      <c r="AK189" s="405"/>
      <c r="AL189" s="405"/>
      <c r="AM189" s="405"/>
      <c r="AN189" s="405"/>
      <c r="AO189" s="405"/>
      <c r="AP189" s="405"/>
      <c r="AQ189" s="405"/>
      <c r="AR189" s="405"/>
      <c r="AS189" s="405"/>
      <c r="AT189" s="405"/>
      <c r="AU189" s="405"/>
      <c r="AV189" s="405"/>
      <c r="AW189" s="405"/>
      <c r="AX189" s="405"/>
      <c r="AY189" s="405"/>
      <c r="AZ189" s="405"/>
      <c r="BA189" s="405"/>
      <c r="BB189" s="405"/>
      <c r="BC189" s="405"/>
      <c r="BD189" s="405"/>
      <c r="BE189" s="405"/>
      <c r="BF189" s="405"/>
      <c r="BG189" s="405"/>
      <c r="BH189" s="405"/>
      <c r="BI189" s="405"/>
      <c r="BJ189" s="405"/>
      <c r="BK189" s="405"/>
      <c r="BL189" s="405"/>
      <c r="BM189" s="405"/>
      <c r="BN189" s="405"/>
      <c r="BO189" s="405"/>
      <c r="BP189" s="405"/>
      <c r="BQ189" s="405"/>
      <c r="BR189" s="405"/>
      <c r="BS189" s="405"/>
      <c r="BT189" s="405"/>
      <c r="BU189" s="405"/>
      <c r="BV189" s="405"/>
      <c r="BW189" s="405"/>
      <c r="BX189" s="405"/>
      <c r="BY189" s="405"/>
      <c r="BZ189" s="405"/>
      <c r="CA189" s="405"/>
      <c r="CB189" s="405"/>
      <c r="CC189" s="405"/>
      <c r="CD189" s="405"/>
      <c r="CE189" s="405"/>
      <c r="CF189" s="405"/>
      <c r="CG189" s="405"/>
      <c r="CH189" s="405"/>
      <c r="CI189" s="405"/>
      <c r="CJ189" s="405"/>
      <c r="CK189" s="405"/>
      <c r="CL189" s="405"/>
      <c r="CM189" s="405"/>
      <c r="CN189" s="405"/>
      <c r="CO189" s="405"/>
      <c r="CP189" s="405"/>
      <c r="CQ189" s="405"/>
      <c r="CR189" s="405"/>
      <c r="CS189" s="405"/>
      <c r="CT189" s="405"/>
      <c r="CU189" s="405"/>
      <c r="CV189" s="405"/>
      <c r="CW189" s="405"/>
      <c r="CX189" s="405"/>
      <c r="CY189" s="405"/>
      <c r="CZ189" s="405"/>
      <c r="DA189" s="405"/>
      <c r="DB189" s="405"/>
      <c r="DC189" s="405"/>
      <c r="DD189" s="405"/>
      <c r="DE189" s="405"/>
      <c r="DF189" s="405"/>
      <c r="DG189" s="405"/>
      <c r="DH189" s="405"/>
      <c r="DI189" s="405"/>
      <c r="DJ189" s="405"/>
      <c r="DK189" s="405"/>
      <c r="DL189" s="405"/>
      <c r="DM189" s="405"/>
      <c r="DN189" s="405"/>
      <c r="DO189" s="405"/>
      <c r="DP189" s="405"/>
      <c r="DQ189" s="405"/>
      <c r="DR189" s="405"/>
      <c r="DS189" s="405"/>
      <c r="DT189" s="405"/>
      <c r="DU189" s="405"/>
      <c r="DV189" s="405"/>
      <c r="DW189" s="405"/>
      <c r="DX189" s="405"/>
      <c r="DY189" s="405"/>
      <c r="DZ189" s="405"/>
      <c r="EA189" s="405"/>
      <c r="EB189" s="405"/>
      <c r="EC189" s="405"/>
      <c r="ED189" s="405"/>
      <c r="EE189" s="405"/>
      <c r="EF189" s="405"/>
      <c r="EG189" s="405"/>
      <c r="EH189" s="405"/>
      <c r="EI189" s="405"/>
      <c r="EJ189" s="405"/>
      <c r="EK189" s="405"/>
      <c r="EL189" s="405"/>
      <c r="EM189" s="405"/>
      <c r="EN189" s="405"/>
    </row>
    <row r="190" spans="2:144" ht="15" customHeight="1" outlineLevel="1">
      <c r="B190" s="449"/>
      <c r="C190" s="453" t="str">
        <f>C60</f>
        <v>Vehicle 1</v>
      </c>
      <c r="D190" s="453" t="str">
        <f>D60</f>
        <v>Vehicle 2</v>
      </c>
      <c r="E190" s="453" t="str">
        <f>E60</f>
        <v>Vehicle 3</v>
      </c>
      <c r="F190" s="453" t="str">
        <f>F60</f>
        <v>Vehicle 4</v>
      </c>
      <c r="G190" s="453" t="str">
        <f>G60</f>
        <v>Vehicle 5</v>
      </c>
      <c r="H190" s="84"/>
      <c r="J190" s="403"/>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5"/>
      <c r="BO190" s="405"/>
      <c r="BP190" s="405"/>
      <c r="BQ190" s="405"/>
      <c r="BR190" s="405"/>
      <c r="BS190" s="405"/>
      <c r="BT190" s="405"/>
      <c r="BU190" s="405"/>
      <c r="BV190" s="405"/>
      <c r="BW190" s="405"/>
      <c r="BX190" s="405"/>
      <c r="BY190" s="405"/>
      <c r="BZ190" s="405"/>
      <c r="CA190" s="405"/>
      <c r="CB190" s="405"/>
      <c r="CC190" s="405"/>
      <c r="CD190" s="405"/>
      <c r="CE190" s="405"/>
      <c r="CF190" s="405"/>
      <c r="CG190" s="405"/>
      <c r="CH190" s="405"/>
      <c r="CI190" s="405"/>
      <c r="CJ190" s="405"/>
      <c r="CK190" s="405"/>
      <c r="CL190" s="405"/>
      <c r="CM190" s="405"/>
      <c r="CN190" s="405"/>
      <c r="CO190" s="405"/>
      <c r="CP190" s="405"/>
      <c r="CQ190" s="405"/>
      <c r="CR190" s="405"/>
      <c r="CS190" s="405"/>
      <c r="CT190" s="405"/>
      <c r="CU190" s="405"/>
      <c r="CV190" s="405"/>
      <c r="CW190" s="405"/>
      <c r="CX190" s="405"/>
      <c r="CY190" s="405"/>
      <c r="CZ190" s="405"/>
      <c r="DA190" s="405"/>
      <c r="DB190" s="405"/>
      <c r="DC190" s="405"/>
      <c r="DD190" s="405"/>
      <c r="DE190" s="405"/>
      <c r="DF190" s="405"/>
      <c r="DG190" s="405"/>
      <c r="DH190" s="405"/>
      <c r="DI190" s="405"/>
      <c r="DJ190" s="405"/>
      <c r="DK190" s="405"/>
      <c r="DL190" s="405"/>
      <c r="DM190" s="405"/>
      <c r="DN190" s="405"/>
      <c r="DO190" s="405"/>
      <c r="DP190" s="405"/>
      <c r="DQ190" s="405"/>
      <c r="DR190" s="405"/>
      <c r="DS190" s="405"/>
      <c r="DT190" s="405"/>
      <c r="DU190" s="405"/>
      <c r="DV190" s="405"/>
      <c r="DW190" s="405"/>
      <c r="DX190" s="405"/>
      <c r="DY190" s="405"/>
      <c r="DZ190" s="405"/>
      <c r="EA190" s="405"/>
      <c r="EB190" s="405"/>
      <c r="EC190" s="405"/>
      <c r="ED190" s="405"/>
      <c r="EE190" s="405"/>
      <c r="EF190" s="405"/>
      <c r="EG190" s="405"/>
      <c r="EH190" s="405"/>
      <c r="EI190" s="405"/>
      <c r="EJ190" s="405"/>
      <c r="EK190" s="405"/>
      <c r="EL190" s="405"/>
      <c r="EM190" s="405"/>
      <c r="EN190" s="405"/>
    </row>
    <row r="191" spans="2:144" ht="15" customHeight="1" outlineLevel="1">
      <c r="B191" s="420" t="str">
        <f>B61</f>
        <v>Type of vehicle</v>
      </c>
      <c r="C191" s="253" t="s">
        <v>249</v>
      </c>
      <c r="D191" s="253" t="s">
        <v>249</v>
      </c>
      <c r="E191" s="253" t="s">
        <v>249</v>
      </c>
      <c r="F191" s="253" t="s">
        <v>249</v>
      </c>
      <c r="G191" s="253" t="s">
        <v>249</v>
      </c>
      <c r="H191" s="420" t="str">
        <f>H61</f>
        <v>[Selection]</v>
      </c>
      <c r="J191" s="403"/>
      <c r="U191" s="405"/>
      <c r="V191" s="405"/>
      <c r="W191" s="405"/>
      <c r="X191" s="405"/>
      <c r="Y191" s="405"/>
      <c r="Z191" s="405"/>
      <c r="AA191" s="405"/>
      <c r="AB191" s="405"/>
      <c r="AC191" s="405"/>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5"/>
      <c r="AY191" s="405"/>
      <c r="AZ191" s="405"/>
      <c r="BA191" s="405"/>
      <c r="BB191" s="405"/>
      <c r="BC191" s="405"/>
      <c r="BD191" s="405"/>
      <c r="BE191" s="405"/>
      <c r="BF191" s="405"/>
      <c r="BG191" s="405"/>
      <c r="BH191" s="405"/>
      <c r="BI191" s="405"/>
      <c r="BJ191" s="405"/>
      <c r="BK191" s="405"/>
      <c r="BL191" s="405"/>
      <c r="BM191" s="405"/>
      <c r="BN191" s="405"/>
      <c r="BO191" s="405"/>
      <c r="BP191" s="405"/>
      <c r="BQ191" s="405"/>
      <c r="BR191" s="405"/>
      <c r="BS191" s="405"/>
      <c r="BT191" s="405"/>
      <c r="BU191" s="405"/>
      <c r="BV191" s="405"/>
      <c r="BW191" s="405"/>
      <c r="BX191" s="405"/>
      <c r="BY191" s="405"/>
      <c r="BZ191" s="405"/>
      <c r="CA191" s="405"/>
      <c r="CB191" s="405"/>
      <c r="CC191" s="405"/>
      <c r="CD191" s="405"/>
      <c r="CE191" s="405"/>
      <c r="CF191" s="405"/>
      <c r="CG191" s="405"/>
      <c r="CH191" s="405"/>
      <c r="CI191" s="405"/>
      <c r="CJ191" s="405"/>
      <c r="CK191" s="405"/>
      <c r="CL191" s="405"/>
      <c r="CM191" s="405"/>
      <c r="CN191" s="405"/>
      <c r="CO191" s="405"/>
      <c r="CP191" s="405"/>
      <c r="CQ191" s="405"/>
      <c r="CR191" s="405"/>
      <c r="CS191" s="405"/>
      <c r="CT191" s="405"/>
      <c r="CU191" s="405"/>
      <c r="CV191" s="405"/>
      <c r="CW191" s="405"/>
      <c r="CX191" s="405"/>
      <c r="CY191" s="405"/>
      <c r="CZ191" s="405"/>
      <c r="DA191" s="405"/>
      <c r="DB191" s="405"/>
      <c r="DC191" s="405"/>
      <c r="DD191" s="405"/>
      <c r="DE191" s="405"/>
      <c r="DF191" s="405"/>
      <c r="DG191" s="405"/>
      <c r="DH191" s="405"/>
      <c r="DI191" s="405"/>
      <c r="DJ191" s="405"/>
      <c r="DK191" s="405"/>
      <c r="DL191" s="405"/>
      <c r="DM191" s="405"/>
      <c r="DN191" s="405"/>
      <c r="DO191" s="405"/>
      <c r="DP191" s="405"/>
      <c r="DQ191" s="405"/>
      <c r="DR191" s="405"/>
      <c r="DS191" s="405"/>
      <c r="DT191" s="405"/>
      <c r="DU191" s="405"/>
      <c r="DV191" s="405"/>
      <c r="DW191" s="405"/>
      <c r="DX191" s="405"/>
      <c r="DY191" s="405"/>
      <c r="DZ191" s="405"/>
      <c r="EA191" s="405"/>
      <c r="EB191" s="405"/>
      <c r="EC191" s="405"/>
      <c r="ED191" s="405"/>
      <c r="EE191" s="405"/>
      <c r="EF191" s="405"/>
      <c r="EG191" s="405"/>
      <c r="EH191" s="405"/>
      <c r="EI191" s="405"/>
      <c r="EJ191" s="405"/>
      <c r="EK191" s="405"/>
      <c r="EL191" s="405"/>
      <c r="EM191" s="405"/>
      <c r="EN191" s="405"/>
    </row>
    <row r="192" spans="2:144" ht="15" customHeight="1" outlineLevel="1">
      <c r="B192" s="411" t="str">
        <f>B62</f>
        <v>Distance</v>
      </c>
      <c r="C192" s="359">
        <v>0</v>
      </c>
      <c r="D192" s="359">
        <v>0</v>
      </c>
      <c r="E192" s="359">
        <v>0</v>
      </c>
      <c r="F192" s="359">
        <v>0</v>
      </c>
      <c r="G192" s="359">
        <v>0</v>
      </c>
      <c r="H192" s="411" t="str">
        <f>H62</f>
        <v>[km]</v>
      </c>
      <c r="J192" s="403"/>
      <c r="U192" s="405"/>
      <c r="V192" s="405"/>
      <c r="W192" s="405"/>
      <c r="X192" s="405"/>
      <c r="Y192" s="405"/>
      <c r="Z192" s="405"/>
      <c r="AA192" s="405"/>
      <c r="AB192" s="405"/>
      <c r="AC192" s="405"/>
      <c r="AD192" s="405"/>
      <c r="AE192" s="405"/>
      <c r="AF192" s="405"/>
      <c r="AG192" s="405"/>
      <c r="AH192" s="405"/>
      <c r="AI192" s="405"/>
      <c r="AJ192" s="405"/>
      <c r="AK192" s="405"/>
      <c r="AL192" s="405"/>
      <c r="AM192" s="405"/>
      <c r="AN192" s="405"/>
      <c r="AO192" s="405"/>
      <c r="AP192" s="405"/>
      <c r="AQ192" s="405"/>
      <c r="AR192" s="405"/>
      <c r="AS192" s="405"/>
      <c r="AT192" s="405"/>
      <c r="AU192" s="405"/>
      <c r="AV192" s="405"/>
      <c r="AW192" s="405"/>
      <c r="AX192" s="405"/>
      <c r="AY192" s="405"/>
      <c r="AZ192" s="405"/>
      <c r="BA192" s="405"/>
      <c r="BB192" s="405"/>
      <c r="BC192" s="405"/>
      <c r="BD192" s="405"/>
      <c r="BE192" s="405"/>
      <c r="BF192" s="405"/>
      <c r="BG192" s="405"/>
      <c r="BH192" s="405"/>
      <c r="BI192" s="405"/>
      <c r="BJ192" s="405"/>
      <c r="BK192" s="405"/>
      <c r="BL192" s="405"/>
      <c r="BM192" s="405"/>
      <c r="BN192" s="405"/>
      <c r="BO192" s="405"/>
      <c r="BP192" s="405"/>
      <c r="BQ192" s="405"/>
      <c r="BR192" s="405"/>
      <c r="BS192" s="405"/>
      <c r="BT192" s="405"/>
      <c r="BU192" s="405"/>
      <c r="BV192" s="405"/>
      <c r="BW192" s="405"/>
      <c r="BX192" s="405"/>
      <c r="BY192" s="405"/>
      <c r="BZ192" s="405"/>
      <c r="CA192" s="405"/>
      <c r="CB192" s="405"/>
      <c r="CC192" s="405"/>
      <c r="CD192" s="405"/>
      <c r="CE192" s="405"/>
      <c r="CF192" s="405"/>
      <c r="CG192" s="405"/>
      <c r="CH192" s="405"/>
      <c r="CI192" s="405"/>
      <c r="CJ192" s="405"/>
      <c r="CK192" s="405"/>
      <c r="CL192" s="405"/>
      <c r="CM192" s="405"/>
      <c r="CN192" s="405"/>
      <c r="CO192" s="405"/>
      <c r="CP192" s="405"/>
      <c r="CQ192" s="405"/>
      <c r="CR192" s="405"/>
      <c r="CS192" s="405"/>
      <c r="CT192" s="405"/>
      <c r="CU192" s="405"/>
      <c r="CV192" s="405"/>
      <c r="CW192" s="405"/>
      <c r="CX192" s="405"/>
      <c r="CY192" s="405"/>
      <c r="CZ192" s="405"/>
      <c r="DA192" s="405"/>
      <c r="DB192" s="405"/>
      <c r="DC192" s="405"/>
      <c r="DD192" s="405"/>
      <c r="DE192" s="405"/>
      <c r="DF192" s="405"/>
      <c r="DG192" s="405"/>
      <c r="DH192" s="405"/>
      <c r="DI192" s="405"/>
      <c r="DJ192" s="405"/>
      <c r="DK192" s="405"/>
      <c r="DL192" s="405"/>
      <c r="DM192" s="405"/>
      <c r="DN192" s="405"/>
      <c r="DO192" s="405"/>
      <c r="DP192" s="405"/>
      <c r="DQ192" s="405"/>
      <c r="DR192" s="405"/>
      <c r="DS192" s="405"/>
      <c r="DT192" s="405"/>
      <c r="DU192" s="405"/>
      <c r="DV192" s="405"/>
      <c r="DW192" s="405"/>
      <c r="DX192" s="405"/>
      <c r="DY192" s="405"/>
      <c r="DZ192" s="405"/>
      <c r="EA192" s="405"/>
      <c r="EB192" s="405"/>
      <c r="EC192" s="405"/>
      <c r="ED192" s="405"/>
      <c r="EE192" s="405"/>
      <c r="EF192" s="405"/>
      <c r="EG192" s="405"/>
      <c r="EH192" s="405"/>
      <c r="EI192" s="405"/>
      <c r="EJ192" s="405"/>
      <c r="EK192" s="405"/>
      <c r="EL192" s="405"/>
      <c r="EM192" s="405"/>
      <c r="EN192" s="405"/>
    </row>
    <row r="193" spans="2:144" ht="15" customHeight="1" outlineLevel="1">
      <c r="B193" s="420" t="str">
        <f>B63</f>
        <v>Travel time</v>
      </c>
      <c r="C193" s="359">
        <v>0</v>
      </c>
      <c r="D193" s="359">
        <v>0</v>
      </c>
      <c r="E193" s="359">
        <v>0</v>
      </c>
      <c r="F193" s="359">
        <v>0</v>
      </c>
      <c r="G193" s="359">
        <v>0</v>
      </c>
      <c r="H193" s="420" t="str">
        <f>H63</f>
        <v>[h]</v>
      </c>
      <c r="J193" s="403"/>
      <c r="U193" s="405"/>
      <c r="V193" s="405"/>
      <c r="W193" s="405"/>
      <c r="X193" s="405"/>
      <c r="Y193" s="405"/>
      <c r="Z193" s="405"/>
      <c r="AA193" s="405"/>
      <c r="AB193" s="405"/>
      <c r="AC193" s="405"/>
      <c r="AD193" s="405"/>
      <c r="AE193" s="405"/>
      <c r="AF193" s="405"/>
      <c r="AG193" s="405"/>
      <c r="AH193" s="405"/>
      <c r="AI193" s="405"/>
      <c r="AJ193" s="405"/>
      <c r="AK193" s="405"/>
      <c r="AL193" s="405"/>
      <c r="AM193" s="405"/>
      <c r="AN193" s="405"/>
      <c r="AO193" s="405"/>
      <c r="AP193" s="405"/>
      <c r="AQ193" s="405"/>
      <c r="AR193" s="405"/>
      <c r="AS193" s="405"/>
      <c r="AT193" s="405"/>
      <c r="AU193" s="405"/>
      <c r="AV193" s="405"/>
      <c r="AW193" s="405"/>
      <c r="AX193" s="405"/>
      <c r="AY193" s="405"/>
      <c r="AZ193" s="405"/>
      <c r="BA193" s="405"/>
      <c r="BB193" s="405"/>
      <c r="BC193" s="405"/>
      <c r="BD193" s="405"/>
      <c r="BE193" s="405"/>
      <c r="BF193" s="405"/>
      <c r="BG193" s="405"/>
      <c r="BH193" s="405"/>
      <c r="BI193" s="405"/>
      <c r="BJ193" s="405"/>
      <c r="BK193" s="405"/>
      <c r="BL193" s="405"/>
      <c r="BM193" s="405"/>
      <c r="BN193" s="405"/>
      <c r="BO193" s="405"/>
      <c r="BP193" s="405"/>
      <c r="BQ193" s="405"/>
      <c r="BR193" s="405"/>
      <c r="BS193" s="405"/>
      <c r="BT193" s="405"/>
      <c r="BU193" s="405"/>
      <c r="BV193" s="405"/>
      <c r="BW193" s="405"/>
      <c r="BX193" s="405"/>
      <c r="BY193" s="405"/>
      <c r="BZ193" s="405"/>
      <c r="CA193" s="405"/>
      <c r="CB193" s="405"/>
      <c r="CC193" s="405"/>
      <c r="CD193" s="405"/>
      <c r="CE193" s="405"/>
      <c r="CF193" s="405"/>
      <c r="CG193" s="405"/>
      <c r="CH193" s="405"/>
      <c r="CI193" s="405"/>
      <c r="CJ193" s="405"/>
      <c r="CK193" s="405"/>
      <c r="CL193" s="405"/>
      <c r="CM193" s="405"/>
      <c r="CN193" s="405"/>
      <c r="CO193" s="405"/>
      <c r="CP193" s="405"/>
      <c r="CQ193" s="405"/>
      <c r="CR193" s="405"/>
      <c r="CS193" s="405"/>
      <c r="CT193" s="405"/>
      <c r="CU193" s="405"/>
      <c r="CV193" s="405"/>
      <c r="CW193" s="405"/>
      <c r="CX193" s="405"/>
      <c r="CY193" s="405"/>
      <c r="CZ193" s="405"/>
      <c r="DA193" s="405"/>
      <c r="DB193" s="405"/>
      <c r="DC193" s="405"/>
      <c r="DD193" s="405"/>
      <c r="DE193" s="405"/>
      <c r="DF193" s="405"/>
      <c r="DG193" s="405"/>
      <c r="DH193" s="405"/>
      <c r="DI193" s="405"/>
      <c r="DJ193" s="405"/>
      <c r="DK193" s="405"/>
      <c r="DL193" s="405"/>
      <c r="DM193" s="405"/>
      <c r="DN193" s="405"/>
      <c r="DO193" s="405"/>
      <c r="DP193" s="405"/>
      <c r="DQ193" s="405"/>
      <c r="DR193" s="405"/>
      <c r="DS193" s="405"/>
      <c r="DT193" s="405"/>
      <c r="DU193" s="405"/>
      <c r="DV193" s="405"/>
      <c r="DW193" s="405"/>
      <c r="DX193" s="405"/>
      <c r="DY193" s="405"/>
      <c r="DZ193" s="405"/>
      <c r="EA193" s="405"/>
      <c r="EB193" s="405"/>
      <c r="EC193" s="405"/>
      <c r="ED193" s="405"/>
      <c r="EE193" s="405"/>
      <c r="EF193" s="405"/>
      <c r="EG193" s="405"/>
      <c r="EH193" s="405"/>
      <c r="EI193" s="405"/>
      <c r="EJ193" s="405"/>
      <c r="EK193" s="405"/>
      <c r="EL193" s="405"/>
      <c r="EM193" s="405"/>
      <c r="EN193" s="405"/>
    </row>
    <row r="194" spans="2:144" ht="15" customHeight="1" outlineLevel="1">
      <c r="B194" s="420" t="str">
        <f>B64</f>
        <v>Amount of transported raw material</v>
      </c>
      <c r="C194" s="359">
        <v>0</v>
      </c>
      <c r="D194" s="359">
        <v>0</v>
      </c>
      <c r="E194" s="359">
        <v>0</v>
      </c>
      <c r="F194" s="359">
        <v>0</v>
      </c>
      <c r="G194" s="454">
        <f>+F91-SUM(C194:F194)</f>
        <v>0</v>
      </c>
      <c r="H194" s="420" t="str">
        <f>H64</f>
        <v>[kg]</v>
      </c>
      <c r="J194" s="403"/>
      <c r="U194" s="405"/>
      <c r="V194" s="405"/>
      <c r="W194" s="405"/>
      <c r="X194" s="405"/>
      <c r="Y194" s="405"/>
      <c r="Z194" s="405"/>
      <c r="AA194" s="405"/>
      <c r="AB194" s="405"/>
      <c r="AC194" s="405"/>
      <c r="AD194" s="405"/>
      <c r="AE194" s="405"/>
      <c r="AF194" s="405"/>
      <c r="AG194" s="405"/>
      <c r="AH194" s="405"/>
      <c r="AI194" s="405"/>
      <c r="AJ194" s="405"/>
      <c r="AK194" s="405"/>
      <c r="AL194" s="405"/>
      <c r="AM194" s="405"/>
      <c r="AN194" s="405"/>
      <c r="AO194" s="405"/>
      <c r="AP194" s="405"/>
      <c r="AQ194" s="405"/>
      <c r="AR194" s="405"/>
      <c r="AS194" s="405"/>
      <c r="AT194" s="405"/>
      <c r="AU194" s="405"/>
      <c r="AV194" s="405"/>
      <c r="AW194" s="405"/>
      <c r="AX194" s="405"/>
      <c r="AY194" s="405"/>
      <c r="AZ194" s="405"/>
      <c r="BA194" s="405"/>
      <c r="BB194" s="405"/>
      <c r="BC194" s="405"/>
      <c r="BD194" s="405"/>
      <c r="BE194" s="405"/>
      <c r="BF194" s="405"/>
      <c r="BG194" s="405"/>
      <c r="BH194" s="405"/>
      <c r="BI194" s="405"/>
      <c r="BJ194" s="405"/>
      <c r="BK194" s="405"/>
      <c r="BL194" s="405"/>
      <c r="BM194" s="405"/>
      <c r="BN194" s="405"/>
      <c r="BO194" s="405"/>
      <c r="BP194" s="405"/>
      <c r="BQ194" s="405"/>
      <c r="BR194" s="405"/>
      <c r="BS194" s="405"/>
      <c r="BT194" s="405"/>
      <c r="BU194" s="405"/>
      <c r="BV194" s="405"/>
      <c r="BW194" s="405"/>
      <c r="BX194" s="405"/>
      <c r="BY194" s="405"/>
      <c r="BZ194" s="405"/>
      <c r="CA194" s="405"/>
      <c r="CB194" s="405"/>
      <c r="CC194" s="405"/>
      <c r="CD194" s="405"/>
      <c r="CE194" s="405"/>
      <c r="CF194" s="405"/>
      <c r="CG194" s="405"/>
      <c r="CH194" s="405"/>
      <c r="CI194" s="405"/>
      <c r="CJ194" s="405"/>
      <c r="CK194" s="405"/>
      <c r="CL194" s="405"/>
      <c r="CM194" s="405"/>
      <c r="CN194" s="405"/>
      <c r="CO194" s="405"/>
      <c r="CP194" s="405"/>
      <c r="CQ194" s="405"/>
      <c r="CR194" s="405"/>
      <c r="CS194" s="405"/>
      <c r="CT194" s="405"/>
      <c r="CU194" s="405"/>
      <c r="CV194" s="405"/>
      <c r="CW194" s="405"/>
      <c r="CX194" s="405"/>
      <c r="CY194" s="405"/>
      <c r="CZ194" s="405"/>
      <c r="DA194" s="405"/>
      <c r="DB194" s="405"/>
      <c r="DC194" s="405"/>
      <c r="DD194" s="405"/>
      <c r="DE194" s="405"/>
      <c r="DF194" s="405"/>
      <c r="DG194" s="405"/>
      <c r="DH194" s="405"/>
      <c r="DI194" s="405"/>
      <c r="DJ194" s="405"/>
      <c r="DK194" s="405"/>
      <c r="DL194" s="405"/>
      <c r="DM194" s="405"/>
      <c r="DN194" s="405"/>
      <c r="DO194" s="405"/>
      <c r="DP194" s="405"/>
      <c r="DQ194" s="405"/>
      <c r="DR194" s="405"/>
      <c r="DS194" s="405"/>
      <c r="DT194" s="405"/>
      <c r="DU194" s="405"/>
      <c r="DV194" s="405"/>
      <c r="DW194" s="405"/>
      <c r="DX194" s="405"/>
      <c r="DY194" s="405"/>
      <c r="DZ194" s="405"/>
      <c r="EA194" s="405"/>
      <c r="EB194" s="405"/>
      <c r="EC194" s="405"/>
      <c r="ED194" s="405"/>
      <c r="EE194" s="405"/>
      <c r="EF194" s="405"/>
      <c r="EG194" s="405"/>
      <c r="EH194" s="405"/>
      <c r="EI194" s="405"/>
      <c r="EJ194" s="405"/>
      <c r="EK194" s="405"/>
      <c r="EL194" s="405"/>
      <c r="EM194" s="405"/>
      <c r="EN194" s="405"/>
    </row>
    <row r="195" spans="2:144" ht="15" customHeight="1" outlineLevel="1">
      <c r="B195" s="403"/>
      <c r="C195" s="403"/>
      <c r="D195" s="403"/>
      <c r="E195" s="403"/>
      <c r="F195" s="403"/>
      <c r="G195" s="403"/>
      <c r="H195" s="403"/>
      <c r="J195" s="403"/>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5"/>
      <c r="BO195" s="405"/>
      <c r="BP195" s="405"/>
      <c r="BQ195" s="405"/>
      <c r="BR195" s="405"/>
      <c r="BS195" s="405"/>
      <c r="BT195" s="405"/>
      <c r="BU195" s="405"/>
      <c r="BV195" s="405"/>
      <c r="BW195" s="405"/>
      <c r="BX195" s="405"/>
      <c r="BY195" s="405"/>
      <c r="BZ195" s="405"/>
      <c r="CA195" s="405"/>
      <c r="CB195" s="405"/>
      <c r="CC195" s="405"/>
      <c r="CD195" s="405"/>
      <c r="CE195" s="405"/>
      <c r="CF195" s="405"/>
      <c r="CG195" s="405"/>
      <c r="CH195" s="405"/>
      <c r="CI195" s="405"/>
      <c r="CJ195" s="405"/>
      <c r="CK195" s="405"/>
      <c r="CL195" s="405"/>
      <c r="CM195" s="405"/>
      <c r="CN195" s="405"/>
      <c r="CO195" s="405"/>
      <c r="CP195" s="405"/>
      <c r="CQ195" s="405"/>
      <c r="CR195" s="405"/>
      <c r="CS195" s="405"/>
      <c r="CT195" s="405"/>
      <c r="CU195" s="405"/>
      <c r="CV195" s="405"/>
      <c r="CW195" s="405"/>
      <c r="CX195" s="405"/>
      <c r="CY195" s="405"/>
      <c r="CZ195" s="405"/>
      <c r="DA195" s="405"/>
      <c r="DB195" s="405"/>
      <c r="DC195" s="405"/>
      <c r="DD195" s="405"/>
      <c r="DE195" s="405"/>
      <c r="DF195" s="405"/>
      <c r="DG195" s="405"/>
      <c r="DH195" s="405"/>
      <c r="DI195" s="405"/>
      <c r="DJ195" s="405"/>
      <c r="DK195" s="405"/>
      <c r="DL195" s="405"/>
      <c r="DM195" s="405"/>
      <c r="DN195" s="405"/>
      <c r="DO195" s="405"/>
      <c r="DP195" s="405"/>
      <c r="DQ195" s="405"/>
      <c r="DR195" s="405"/>
      <c r="DS195" s="405"/>
      <c r="DT195" s="405"/>
      <c r="DU195" s="405"/>
      <c r="DV195" s="405"/>
      <c r="DW195" s="405"/>
      <c r="DX195" s="405"/>
      <c r="DY195" s="405"/>
      <c r="DZ195" s="405"/>
      <c r="EA195" s="405"/>
      <c r="EB195" s="405"/>
      <c r="EC195" s="405"/>
      <c r="ED195" s="405"/>
      <c r="EE195" s="405"/>
      <c r="EF195" s="405"/>
      <c r="EG195" s="405"/>
      <c r="EH195" s="405"/>
      <c r="EI195" s="405"/>
      <c r="EJ195" s="405"/>
      <c r="EK195" s="405"/>
      <c r="EL195" s="405"/>
      <c r="EM195" s="405"/>
      <c r="EN195" s="405"/>
    </row>
    <row r="196" spans="2:144" ht="15" customHeight="1" outlineLevel="1">
      <c r="B196" s="472" t="str">
        <f>B131</f>
        <v xml:space="preserve">Filling in these cells is only required if auxliariy powered units are used: </v>
      </c>
      <c r="C196" s="80"/>
      <c r="D196" s="404"/>
      <c r="E196" s="404"/>
      <c r="F196" s="413"/>
      <c r="G196" s="413"/>
      <c r="H196" s="403"/>
      <c r="J196" s="403"/>
      <c r="U196" s="405"/>
      <c r="V196" s="405"/>
      <c r="W196" s="405"/>
      <c r="X196" s="405"/>
      <c r="Y196" s="405"/>
      <c r="Z196" s="405"/>
      <c r="AA196" s="405"/>
      <c r="AB196" s="405"/>
      <c r="AC196" s="405"/>
      <c r="AD196" s="405"/>
      <c r="AE196" s="405"/>
      <c r="AF196" s="405"/>
      <c r="AG196" s="405"/>
      <c r="AH196" s="405"/>
      <c r="AI196" s="405"/>
      <c r="AJ196" s="405"/>
      <c r="AK196" s="405"/>
      <c r="AL196" s="405"/>
      <c r="AM196" s="405"/>
      <c r="AN196" s="405"/>
      <c r="AO196" s="405"/>
      <c r="AP196" s="405"/>
      <c r="AQ196" s="405"/>
      <c r="AR196" s="405"/>
      <c r="AS196" s="405"/>
      <c r="AT196" s="405"/>
      <c r="AU196" s="405"/>
      <c r="AV196" s="405"/>
      <c r="AW196" s="405"/>
      <c r="AX196" s="405"/>
      <c r="AY196" s="405"/>
      <c r="AZ196" s="405"/>
      <c r="BA196" s="405"/>
      <c r="BB196" s="405"/>
      <c r="BC196" s="405"/>
      <c r="BD196" s="405"/>
      <c r="BE196" s="405"/>
      <c r="BF196" s="405"/>
      <c r="BG196" s="405"/>
      <c r="BH196" s="405"/>
      <c r="BI196" s="405"/>
      <c r="BJ196" s="405"/>
      <c r="BK196" s="405"/>
      <c r="BL196" s="405"/>
      <c r="BM196" s="405"/>
      <c r="BN196" s="405"/>
      <c r="BO196" s="405"/>
      <c r="BP196" s="405"/>
      <c r="BQ196" s="405"/>
      <c r="BR196" s="405"/>
      <c r="BS196" s="405"/>
      <c r="BT196" s="405"/>
      <c r="BU196" s="405"/>
      <c r="BV196" s="405"/>
      <c r="BW196" s="405"/>
      <c r="BX196" s="405"/>
      <c r="BY196" s="405"/>
      <c r="BZ196" s="405"/>
      <c r="CA196" s="405"/>
      <c r="CB196" s="405"/>
      <c r="CC196" s="405"/>
      <c r="CD196" s="405"/>
      <c r="CE196" s="405"/>
      <c r="CF196" s="405"/>
      <c r="CG196" s="405"/>
      <c r="CH196" s="405"/>
      <c r="CI196" s="405"/>
      <c r="CJ196" s="405"/>
      <c r="CK196" s="405"/>
      <c r="CL196" s="405"/>
      <c r="CM196" s="405"/>
      <c r="CN196" s="405"/>
      <c r="CO196" s="405"/>
      <c r="CP196" s="405"/>
      <c r="CQ196" s="405"/>
      <c r="CR196" s="405"/>
      <c r="CS196" s="405"/>
      <c r="CT196" s="405"/>
      <c r="CU196" s="405"/>
      <c r="CV196" s="405"/>
      <c r="CW196" s="405"/>
      <c r="CX196" s="405"/>
      <c r="CY196" s="405"/>
      <c r="CZ196" s="405"/>
      <c r="DA196" s="405"/>
      <c r="DB196" s="405"/>
      <c r="DC196" s="405"/>
      <c r="DD196" s="405"/>
      <c r="DE196" s="405"/>
      <c r="DF196" s="405"/>
      <c r="DG196" s="405"/>
      <c r="DH196" s="405"/>
      <c r="DI196" s="405"/>
      <c r="DJ196" s="405"/>
      <c r="DK196" s="405"/>
      <c r="DL196" s="405"/>
      <c r="DM196" s="405"/>
      <c r="DN196" s="405"/>
      <c r="DO196" s="405"/>
      <c r="DP196" s="405"/>
      <c r="DQ196" s="405"/>
      <c r="DR196" s="405"/>
      <c r="DS196" s="405"/>
      <c r="DT196" s="405"/>
      <c r="DU196" s="405"/>
      <c r="DV196" s="405"/>
      <c r="DW196" s="405"/>
      <c r="DX196" s="405"/>
      <c r="DY196" s="405"/>
      <c r="DZ196" s="405"/>
      <c r="EA196" s="405"/>
      <c r="EB196" s="405"/>
      <c r="EC196" s="405"/>
      <c r="ED196" s="405"/>
      <c r="EE196" s="405"/>
      <c r="EF196" s="405"/>
      <c r="EG196" s="405"/>
      <c r="EH196" s="405"/>
      <c r="EI196" s="405"/>
      <c r="EJ196" s="405"/>
      <c r="EK196" s="405"/>
      <c r="EL196" s="405"/>
      <c r="EM196" s="405"/>
      <c r="EN196" s="405"/>
    </row>
    <row r="197" spans="2:144" ht="15" customHeight="1" outlineLevel="1">
      <c r="C197" s="456" t="str">
        <f>C70</f>
        <v>Vehicle 1</v>
      </c>
      <c r="D197" s="456" t="str">
        <f>D70</f>
        <v>Vehicle 2</v>
      </c>
      <c r="E197" s="456" t="str">
        <f>E70</f>
        <v>Vehicle 3</v>
      </c>
      <c r="F197" s="456" t="str">
        <f>F70</f>
        <v>Vehicle 4</v>
      </c>
      <c r="G197" s="456" t="str">
        <f>G70</f>
        <v>Vehicle 5</v>
      </c>
      <c r="H197" s="76"/>
      <c r="J197" s="403"/>
      <c r="U197" s="405"/>
      <c r="V197" s="405"/>
      <c r="W197" s="405"/>
      <c r="X197" s="405"/>
      <c r="Y197" s="405"/>
      <c r="Z197" s="405"/>
      <c r="AA197" s="405"/>
      <c r="AB197" s="405"/>
      <c r="AC197" s="405"/>
      <c r="AD197" s="405"/>
      <c r="AE197" s="405"/>
      <c r="AF197" s="405"/>
      <c r="AG197" s="405"/>
      <c r="AH197" s="405"/>
      <c r="AI197" s="405"/>
      <c r="AJ197" s="405"/>
      <c r="AK197" s="405"/>
      <c r="AL197" s="405"/>
      <c r="AM197" s="405"/>
      <c r="AN197" s="405"/>
      <c r="AO197" s="405"/>
      <c r="AP197" s="405"/>
      <c r="AQ197" s="405"/>
      <c r="AR197" s="405"/>
      <c r="AS197" s="405"/>
      <c r="AT197" s="405"/>
      <c r="AU197" s="405"/>
      <c r="AV197" s="405"/>
      <c r="AW197" s="405"/>
      <c r="AX197" s="405"/>
      <c r="AY197" s="405"/>
      <c r="AZ197" s="405"/>
      <c r="BA197" s="405"/>
      <c r="BB197" s="405"/>
      <c r="BC197" s="405"/>
      <c r="BD197" s="405"/>
      <c r="BE197" s="405"/>
      <c r="BF197" s="405"/>
      <c r="BG197" s="405"/>
      <c r="BH197" s="405"/>
      <c r="BI197" s="405"/>
      <c r="BJ197" s="405"/>
      <c r="BK197" s="405"/>
      <c r="BL197" s="405"/>
      <c r="BM197" s="405"/>
      <c r="BN197" s="405"/>
      <c r="BO197" s="405"/>
      <c r="BP197" s="405"/>
      <c r="BQ197" s="405"/>
      <c r="BR197" s="405"/>
      <c r="BS197" s="405"/>
      <c r="BT197" s="405"/>
      <c r="BU197" s="405"/>
      <c r="BV197" s="405"/>
      <c r="BW197" s="405"/>
      <c r="BX197" s="405"/>
      <c r="BY197" s="405"/>
      <c r="BZ197" s="405"/>
      <c r="CA197" s="405"/>
      <c r="CB197" s="405"/>
      <c r="CC197" s="405"/>
      <c r="CD197" s="405"/>
      <c r="CE197" s="405"/>
      <c r="CF197" s="405"/>
      <c r="CG197" s="405"/>
      <c r="CH197" s="405"/>
      <c r="CI197" s="405"/>
      <c r="CJ197" s="405"/>
      <c r="CK197" s="405"/>
      <c r="CL197" s="405"/>
      <c r="CM197" s="405"/>
      <c r="CN197" s="405"/>
      <c r="CO197" s="405"/>
      <c r="CP197" s="405"/>
      <c r="CQ197" s="405"/>
      <c r="CR197" s="405"/>
      <c r="CS197" s="405"/>
      <c r="CT197" s="405"/>
      <c r="CU197" s="405"/>
      <c r="CV197" s="405"/>
      <c r="CW197" s="405"/>
      <c r="CX197" s="405"/>
      <c r="CY197" s="405"/>
      <c r="CZ197" s="405"/>
      <c r="DA197" s="405"/>
      <c r="DB197" s="405"/>
      <c r="DC197" s="405"/>
      <c r="DD197" s="405"/>
      <c r="DE197" s="405"/>
      <c r="DF197" s="405"/>
      <c r="DG197" s="405"/>
      <c r="DH197" s="405"/>
      <c r="DI197" s="405"/>
      <c r="DJ197" s="405"/>
      <c r="DK197" s="405"/>
      <c r="DL197" s="405"/>
      <c r="DM197" s="405"/>
      <c r="DN197" s="405"/>
      <c r="DO197" s="405"/>
      <c r="DP197" s="405"/>
      <c r="DQ197" s="405"/>
      <c r="DR197" s="405"/>
      <c r="DS197" s="405"/>
      <c r="DT197" s="405"/>
      <c r="DU197" s="405"/>
      <c r="DV197" s="405"/>
      <c r="DW197" s="405"/>
      <c r="DX197" s="405"/>
      <c r="DY197" s="405"/>
      <c r="DZ197" s="405"/>
      <c r="EA197" s="405"/>
      <c r="EB197" s="405"/>
      <c r="EC197" s="405"/>
      <c r="ED197" s="405"/>
      <c r="EE197" s="405"/>
      <c r="EF197" s="405"/>
      <c r="EG197" s="405"/>
      <c r="EH197" s="405"/>
      <c r="EI197" s="405"/>
      <c r="EJ197" s="405"/>
      <c r="EK197" s="405"/>
      <c r="EL197" s="405"/>
      <c r="EM197" s="405"/>
      <c r="EN197" s="405"/>
    </row>
    <row r="198" spans="2:144" ht="15" customHeight="1" outlineLevel="1">
      <c r="B198" s="411" t="str">
        <f>B71</f>
        <v xml:space="preserve">Refrigerant </v>
      </c>
      <c r="C198" s="253" t="s">
        <v>249</v>
      </c>
      <c r="D198" s="253" t="s">
        <v>249</v>
      </c>
      <c r="E198" s="253" t="s">
        <v>249</v>
      </c>
      <c r="F198" s="253" t="s">
        <v>249</v>
      </c>
      <c r="G198" s="253" t="s">
        <v>249</v>
      </c>
      <c r="H198" s="411" t="str">
        <f>H71</f>
        <v>[Selection]</v>
      </c>
      <c r="J198" s="403"/>
      <c r="U198" s="405"/>
      <c r="V198" s="405"/>
      <c r="W198" s="405"/>
      <c r="X198" s="405"/>
      <c r="Y198" s="405"/>
      <c r="Z198" s="405"/>
      <c r="AA198" s="405"/>
      <c r="AB198" s="405"/>
      <c r="AC198" s="405"/>
      <c r="AD198" s="405"/>
      <c r="AE198" s="405"/>
      <c r="AF198" s="405"/>
      <c r="AG198" s="405"/>
      <c r="AH198" s="405"/>
      <c r="AI198" s="405"/>
      <c r="AJ198" s="405"/>
      <c r="AK198" s="405"/>
      <c r="AL198" s="405"/>
      <c r="AM198" s="405"/>
      <c r="AN198" s="405"/>
      <c r="AO198" s="405"/>
      <c r="AP198" s="405"/>
      <c r="AQ198" s="405"/>
      <c r="AR198" s="405"/>
      <c r="AS198" s="405"/>
      <c r="AT198" s="405"/>
      <c r="AU198" s="405"/>
      <c r="AV198" s="405"/>
      <c r="AW198" s="405"/>
      <c r="AX198" s="405"/>
      <c r="AY198" s="405"/>
      <c r="AZ198" s="405"/>
      <c r="BA198" s="405"/>
      <c r="BB198" s="405"/>
      <c r="BC198" s="405"/>
      <c r="BD198" s="405"/>
      <c r="BE198" s="405"/>
      <c r="BF198" s="405"/>
      <c r="BG198" s="405"/>
      <c r="BH198" s="405"/>
      <c r="BI198" s="405"/>
      <c r="BJ198" s="405"/>
      <c r="BK198" s="405"/>
      <c r="BL198" s="405"/>
      <c r="BM198" s="405"/>
      <c r="BN198" s="405"/>
      <c r="BO198" s="405"/>
      <c r="BP198" s="405"/>
      <c r="BQ198" s="405"/>
      <c r="BR198" s="405"/>
      <c r="BS198" s="405"/>
      <c r="BT198" s="405"/>
      <c r="BU198" s="405"/>
      <c r="BV198" s="405"/>
      <c r="BW198" s="405"/>
      <c r="BX198" s="405"/>
      <c r="BY198" s="405"/>
      <c r="BZ198" s="405"/>
      <c r="CA198" s="405"/>
      <c r="CB198" s="405"/>
      <c r="CC198" s="405"/>
      <c r="CD198" s="405"/>
      <c r="CE198" s="405"/>
      <c r="CF198" s="405"/>
      <c r="CG198" s="405"/>
      <c r="CH198" s="405"/>
      <c r="CI198" s="405"/>
      <c r="CJ198" s="405"/>
      <c r="CK198" s="405"/>
      <c r="CL198" s="405"/>
      <c r="CM198" s="405"/>
      <c r="CN198" s="405"/>
      <c r="CO198" s="405"/>
      <c r="CP198" s="405"/>
      <c r="CQ198" s="405"/>
      <c r="CR198" s="405"/>
      <c r="CS198" s="405"/>
      <c r="CT198" s="405"/>
      <c r="CU198" s="405"/>
      <c r="CV198" s="405"/>
      <c r="CW198" s="405"/>
      <c r="CX198" s="405"/>
      <c r="CY198" s="405"/>
      <c r="CZ198" s="405"/>
      <c r="DA198" s="405"/>
      <c r="DB198" s="405"/>
      <c r="DC198" s="405"/>
      <c r="DD198" s="405"/>
      <c r="DE198" s="405"/>
      <c r="DF198" s="405"/>
      <c r="DG198" s="405"/>
      <c r="DH198" s="405"/>
      <c r="DI198" s="405"/>
      <c r="DJ198" s="405"/>
      <c r="DK198" s="405"/>
      <c r="DL198" s="405"/>
      <c r="DM198" s="405"/>
      <c r="DN198" s="405"/>
      <c r="DO198" s="405"/>
      <c r="DP198" s="405"/>
      <c r="DQ198" s="405"/>
      <c r="DR198" s="405"/>
      <c r="DS198" s="405"/>
      <c r="DT198" s="405"/>
      <c r="DU198" s="405"/>
      <c r="DV198" s="405"/>
      <c r="DW198" s="405"/>
      <c r="DX198" s="405"/>
      <c r="DY198" s="405"/>
      <c r="DZ198" s="405"/>
      <c r="EA198" s="405"/>
      <c r="EB198" s="405"/>
      <c r="EC198" s="405"/>
      <c r="ED198" s="405"/>
      <c r="EE198" s="405"/>
      <c r="EF198" s="405"/>
      <c r="EG198" s="405"/>
      <c r="EH198" s="405"/>
      <c r="EI198" s="405"/>
      <c r="EJ198" s="405"/>
      <c r="EK198" s="405"/>
      <c r="EL198" s="405"/>
      <c r="EM198" s="405"/>
      <c r="EN198" s="405"/>
    </row>
    <row r="199" spans="2:144" ht="15" customHeight="1" outlineLevel="1">
      <c r="B199" s="411" t="str">
        <f>B72</f>
        <v>Annual initial refrigerant precharge</v>
      </c>
      <c r="C199" s="359">
        <v>0</v>
      </c>
      <c r="D199" s="359">
        <v>0</v>
      </c>
      <c r="E199" s="359">
        <v>0</v>
      </c>
      <c r="F199" s="359">
        <v>0</v>
      </c>
      <c r="G199" s="359">
        <v>0</v>
      </c>
      <c r="H199" s="411" t="str">
        <f>H72</f>
        <v>[kg]</v>
      </c>
      <c r="J199" s="403"/>
      <c r="U199" s="405"/>
      <c r="V199" s="405"/>
      <c r="W199" s="405"/>
      <c r="X199" s="405"/>
      <c r="Y199" s="405"/>
      <c r="Z199" s="405"/>
      <c r="AA199" s="405"/>
      <c r="AB199" s="405"/>
      <c r="AC199" s="405"/>
      <c r="AD199" s="405"/>
      <c r="AE199" s="405"/>
      <c r="AF199" s="405"/>
      <c r="AG199" s="405"/>
      <c r="AH199" s="405"/>
      <c r="AI199" s="405"/>
      <c r="AJ199" s="405"/>
      <c r="AK199" s="405"/>
      <c r="AL199" s="405"/>
      <c r="AM199" s="405"/>
      <c r="AN199" s="405"/>
      <c r="AO199" s="405"/>
      <c r="AP199" s="405"/>
      <c r="AQ199" s="405"/>
      <c r="AR199" s="405"/>
      <c r="AS199" s="405"/>
      <c r="AT199" s="405"/>
      <c r="AU199" s="405"/>
      <c r="AV199" s="405"/>
      <c r="AW199" s="405"/>
      <c r="AX199" s="405"/>
      <c r="AY199" s="405"/>
      <c r="AZ199" s="405"/>
      <c r="BA199" s="405"/>
      <c r="BB199" s="405"/>
      <c r="BC199" s="405"/>
      <c r="BD199" s="405"/>
      <c r="BE199" s="405"/>
      <c r="BF199" s="405"/>
      <c r="BG199" s="405"/>
      <c r="BH199" s="405"/>
      <c r="BI199" s="405"/>
      <c r="BJ199" s="405"/>
      <c r="BK199" s="405"/>
      <c r="BL199" s="405"/>
      <c r="BM199" s="405"/>
      <c r="BN199" s="405"/>
      <c r="BO199" s="405"/>
      <c r="BP199" s="405"/>
      <c r="BQ199" s="405"/>
      <c r="BR199" s="405"/>
      <c r="BS199" s="405"/>
      <c r="BT199" s="405"/>
      <c r="BU199" s="405"/>
      <c r="BV199" s="405"/>
      <c r="BW199" s="405"/>
      <c r="BX199" s="405"/>
      <c r="BY199" s="405"/>
      <c r="BZ199" s="405"/>
      <c r="CA199" s="405"/>
      <c r="CB199" s="405"/>
      <c r="CC199" s="405"/>
      <c r="CD199" s="405"/>
      <c r="CE199" s="405"/>
      <c r="CF199" s="405"/>
      <c r="CG199" s="405"/>
      <c r="CH199" s="405"/>
      <c r="CI199" s="405"/>
      <c r="CJ199" s="405"/>
      <c r="CK199" s="405"/>
      <c r="CL199" s="405"/>
      <c r="CM199" s="405"/>
      <c r="CN199" s="405"/>
      <c r="CO199" s="405"/>
      <c r="CP199" s="405"/>
      <c r="CQ199" s="405"/>
      <c r="CR199" s="405"/>
      <c r="CS199" s="405"/>
      <c r="CT199" s="405"/>
      <c r="CU199" s="405"/>
      <c r="CV199" s="405"/>
      <c r="CW199" s="405"/>
      <c r="CX199" s="405"/>
      <c r="CY199" s="405"/>
      <c r="CZ199" s="405"/>
      <c r="DA199" s="405"/>
      <c r="DB199" s="405"/>
      <c r="DC199" s="405"/>
      <c r="DD199" s="405"/>
      <c r="DE199" s="405"/>
      <c r="DF199" s="405"/>
      <c r="DG199" s="405"/>
      <c r="DH199" s="405"/>
      <c r="DI199" s="405"/>
      <c r="DJ199" s="405"/>
      <c r="DK199" s="405"/>
      <c r="DL199" s="405"/>
      <c r="DM199" s="405"/>
      <c r="DN199" s="405"/>
      <c r="DO199" s="405"/>
      <c r="DP199" s="405"/>
      <c r="DQ199" s="405"/>
      <c r="DR199" s="405"/>
      <c r="DS199" s="405"/>
      <c r="DT199" s="405"/>
      <c r="DU199" s="405"/>
      <c r="DV199" s="405"/>
      <c r="DW199" s="405"/>
      <c r="DX199" s="405"/>
      <c r="DY199" s="405"/>
      <c r="DZ199" s="405"/>
      <c r="EA199" s="405"/>
      <c r="EB199" s="405"/>
      <c r="EC199" s="405"/>
      <c r="ED199" s="405"/>
      <c r="EE199" s="405"/>
      <c r="EF199" s="405"/>
      <c r="EG199" s="405"/>
      <c r="EH199" s="405"/>
      <c r="EI199" s="405"/>
      <c r="EJ199" s="405"/>
      <c r="EK199" s="405"/>
      <c r="EL199" s="405"/>
      <c r="EM199" s="405"/>
      <c r="EN199" s="405"/>
    </row>
    <row r="200" spans="2:144" ht="15" customHeight="1" outlineLevel="1">
      <c r="B200" s="420" t="str">
        <f>B73</f>
        <v>Electrical consumption of auxiliary units</v>
      </c>
      <c r="C200" s="359">
        <v>0</v>
      </c>
      <c r="D200" s="359">
        <v>0</v>
      </c>
      <c r="E200" s="359">
        <v>0</v>
      </c>
      <c r="F200" s="359">
        <v>0</v>
      </c>
      <c r="G200" s="359">
        <v>0</v>
      </c>
      <c r="H200" s="420" t="str">
        <f>H73</f>
        <v>[kWh]</v>
      </c>
      <c r="J200" s="403"/>
      <c r="U200" s="405"/>
      <c r="V200" s="405"/>
      <c r="W200" s="405"/>
      <c r="X200" s="405"/>
      <c r="Y200" s="405"/>
      <c r="Z200" s="405"/>
      <c r="AA200" s="405"/>
      <c r="AB200" s="405"/>
      <c r="AC200" s="405"/>
      <c r="AD200" s="405"/>
      <c r="AE200" s="405"/>
      <c r="AF200" s="405"/>
      <c r="AG200" s="405"/>
      <c r="AH200" s="405"/>
      <c r="AI200" s="405"/>
      <c r="AJ200" s="405"/>
      <c r="AK200" s="405"/>
      <c r="AL200" s="405"/>
      <c r="AM200" s="405"/>
      <c r="AN200" s="405"/>
      <c r="AO200" s="405"/>
      <c r="AP200" s="405"/>
      <c r="AQ200" s="405"/>
      <c r="AR200" s="405"/>
      <c r="AS200" s="405"/>
      <c r="AT200" s="405"/>
      <c r="AU200" s="405"/>
      <c r="AV200" s="405"/>
      <c r="AW200" s="405"/>
      <c r="AX200" s="405"/>
      <c r="AY200" s="405"/>
      <c r="AZ200" s="405"/>
      <c r="BA200" s="405"/>
      <c r="BB200" s="405"/>
      <c r="BC200" s="405"/>
      <c r="BD200" s="405"/>
      <c r="BE200" s="405"/>
      <c r="BF200" s="405"/>
      <c r="BG200" s="405"/>
      <c r="BH200" s="405"/>
      <c r="BI200" s="405"/>
      <c r="BJ200" s="405"/>
      <c r="BK200" s="405"/>
      <c r="BL200" s="405"/>
      <c r="BM200" s="405"/>
      <c r="BN200" s="405"/>
      <c r="BO200" s="405"/>
      <c r="BP200" s="405"/>
      <c r="BQ200" s="405"/>
      <c r="BR200" s="405"/>
      <c r="BS200" s="405"/>
      <c r="BT200" s="405"/>
      <c r="BU200" s="405"/>
      <c r="BV200" s="405"/>
      <c r="BW200" s="405"/>
      <c r="BX200" s="405"/>
      <c r="BY200" s="405"/>
      <c r="BZ200" s="405"/>
      <c r="CA200" s="405"/>
      <c r="CB200" s="405"/>
      <c r="CC200" s="405"/>
      <c r="CD200" s="405"/>
      <c r="CE200" s="405"/>
      <c r="CF200" s="405"/>
      <c r="CG200" s="405"/>
      <c r="CH200" s="405"/>
      <c r="CI200" s="405"/>
      <c r="CJ200" s="405"/>
      <c r="CK200" s="405"/>
      <c r="CL200" s="405"/>
      <c r="CM200" s="405"/>
      <c r="CN200" s="405"/>
      <c r="CO200" s="405"/>
      <c r="CP200" s="405"/>
      <c r="CQ200" s="405"/>
      <c r="CR200" s="405"/>
      <c r="CS200" s="405"/>
      <c r="CT200" s="405"/>
      <c r="CU200" s="405"/>
      <c r="CV200" s="405"/>
      <c r="CW200" s="405"/>
      <c r="CX200" s="405"/>
      <c r="CY200" s="405"/>
      <c r="CZ200" s="405"/>
      <c r="DA200" s="405"/>
      <c r="DB200" s="405"/>
      <c r="DC200" s="405"/>
      <c r="DD200" s="405"/>
      <c r="DE200" s="405"/>
      <c r="DF200" s="405"/>
      <c r="DG200" s="405"/>
      <c r="DH200" s="405"/>
      <c r="DI200" s="405"/>
      <c r="DJ200" s="405"/>
      <c r="DK200" s="405"/>
      <c r="DL200" s="405"/>
      <c r="DM200" s="405"/>
      <c r="DN200" s="405"/>
      <c r="DO200" s="405"/>
      <c r="DP200" s="405"/>
      <c r="DQ200" s="405"/>
      <c r="DR200" s="405"/>
      <c r="DS200" s="405"/>
      <c r="DT200" s="405"/>
      <c r="DU200" s="405"/>
      <c r="DV200" s="405"/>
      <c r="DW200" s="405"/>
      <c r="DX200" s="405"/>
      <c r="DY200" s="405"/>
      <c r="DZ200" s="405"/>
      <c r="EA200" s="405"/>
      <c r="EB200" s="405"/>
      <c r="EC200" s="405"/>
      <c r="ED200" s="405"/>
      <c r="EE200" s="405"/>
      <c r="EF200" s="405"/>
      <c r="EG200" s="405"/>
      <c r="EH200" s="405"/>
      <c r="EI200" s="405"/>
      <c r="EJ200" s="405"/>
      <c r="EK200" s="405"/>
      <c r="EL200" s="405"/>
      <c r="EM200" s="405"/>
      <c r="EN200" s="405"/>
    </row>
    <row r="201" spans="2:144" ht="15" customHeight="1" outlineLevel="1">
      <c r="B201" s="458"/>
      <c r="C201" s="458"/>
      <c r="D201" s="458"/>
      <c r="E201" s="458"/>
      <c r="F201" s="458"/>
      <c r="G201" s="88"/>
      <c r="H201" s="77"/>
      <c r="J201" s="403"/>
      <c r="U201" s="405"/>
      <c r="V201" s="405"/>
      <c r="W201" s="405"/>
      <c r="X201" s="405"/>
      <c r="Y201" s="405"/>
      <c r="Z201" s="405"/>
      <c r="AA201" s="405"/>
      <c r="AB201" s="405"/>
      <c r="AC201" s="405"/>
      <c r="AD201" s="405"/>
      <c r="AE201" s="405"/>
      <c r="AF201" s="405"/>
      <c r="AG201" s="405"/>
      <c r="AH201" s="405"/>
      <c r="AI201" s="405"/>
      <c r="AJ201" s="405"/>
      <c r="AK201" s="405"/>
      <c r="AL201" s="405"/>
      <c r="AM201" s="405"/>
      <c r="AN201" s="405"/>
      <c r="AO201" s="405"/>
      <c r="AP201" s="405"/>
      <c r="AQ201" s="405"/>
      <c r="AR201" s="405"/>
      <c r="AS201" s="405"/>
      <c r="AT201" s="405"/>
      <c r="AU201" s="405"/>
      <c r="AV201" s="405"/>
      <c r="AW201" s="405"/>
      <c r="AX201" s="405"/>
      <c r="AY201" s="405"/>
      <c r="AZ201" s="405"/>
      <c r="BA201" s="405"/>
      <c r="BB201" s="405"/>
      <c r="BC201" s="405"/>
      <c r="BD201" s="405"/>
      <c r="BE201" s="405"/>
      <c r="BF201" s="405"/>
      <c r="BG201" s="405"/>
      <c r="BH201" s="405"/>
      <c r="BI201" s="405"/>
      <c r="BJ201" s="405"/>
      <c r="BK201" s="405"/>
      <c r="BL201" s="405"/>
      <c r="BM201" s="405"/>
      <c r="BN201" s="405"/>
      <c r="BO201" s="405"/>
      <c r="BP201" s="405"/>
      <c r="BQ201" s="405"/>
      <c r="BR201" s="405"/>
      <c r="BS201" s="405"/>
      <c r="BT201" s="405"/>
      <c r="BU201" s="405"/>
      <c r="BV201" s="405"/>
      <c r="BW201" s="405"/>
      <c r="BX201" s="405"/>
      <c r="BY201" s="405"/>
      <c r="BZ201" s="405"/>
      <c r="CA201" s="405"/>
      <c r="CB201" s="405"/>
      <c r="CC201" s="405"/>
      <c r="CD201" s="405"/>
      <c r="CE201" s="405"/>
      <c r="CF201" s="405"/>
      <c r="CG201" s="405"/>
      <c r="CH201" s="405"/>
      <c r="CI201" s="405"/>
      <c r="CJ201" s="405"/>
      <c r="CK201" s="405"/>
      <c r="CL201" s="405"/>
      <c r="CM201" s="405"/>
      <c r="CN201" s="405"/>
      <c r="CO201" s="405"/>
      <c r="CP201" s="405"/>
      <c r="CQ201" s="405"/>
      <c r="CR201" s="405"/>
      <c r="CS201" s="405"/>
      <c r="CT201" s="405"/>
      <c r="CU201" s="405"/>
      <c r="CV201" s="405"/>
      <c r="CW201" s="405"/>
      <c r="CX201" s="405"/>
      <c r="CY201" s="405"/>
      <c r="CZ201" s="405"/>
      <c r="DA201" s="405"/>
      <c r="DB201" s="405"/>
      <c r="DC201" s="405"/>
      <c r="DD201" s="405"/>
      <c r="DE201" s="405"/>
      <c r="DF201" s="405"/>
      <c r="DG201" s="405"/>
      <c r="DH201" s="405"/>
      <c r="DI201" s="405"/>
      <c r="DJ201" s="405"/>
      <c r="DK201" s="405"/>
      <c r="DL201" s="405"/>
      <c r="DM201" s="405"/>
      <c r="DN201" s="405"/>
      <c r="DO201" s="405"/>
      <c r="DP201" s="405"/>
      <c r="DQ201" s="405"/>
      <c r="DR201" s="405"/>
      <c r="DS201" s="405"/>
      <c r="DT201" s="405"/>
      <c r="DU201" s="405"/>
      <c r="DV201" s="405"/>
      <c r="DW201" s="405"/>
      <c r="DX201" s="405"/>
      <c r="DY201" s="405"/>
      <c r="DZ201" s="405"/>
      <c r="EA201" s="405"/>
      <c r="EB201" s="405"/>
      <c r="EC201" s="405"/>
      <c r="ED201" s="405"/>
      <c r="EE201" s="405"/>
      <c r="EF201" s="405"/>
      <c r="EG201" s="405"/>
      <c r="EH201" s="405"/>
      <c r="EI201" s="405"/>
      <c r="EJ201" s="405"/>
      <c r="EK201" s="405"/>
      <c r="EL201" s="405"/>
      <c r="EM201" s="405"/>
      <c r="EN201" s="405"/>
    </row>
    <row r="202" spans="2:144" ht="15" customHeight="1" outlineLevel="1">
      <c r="B202" s="411" t="str">
        <f>B75</f>
        <v>Water consumption per year</v>
      </c>
      <c r="C202" s="411"/>
      <c r="D202" s="411"/>
      <c r="E202" s="411"/>
      <c r="F202" s="258">
        <v>0</v>
      </c>
      <c r="G202" s="411" t="str">
        <f>G75</f>
        <v>[m³]</v>
      </c>
      <c r="H202" s="411"/>
      <c r="J202" s="403"/>
      <c r="U202" s="405"/>
      <c r="V202" s="405"/>
      <c r="W202" s="405"/>
      <c r="X202" s="405"/>
      <c r="Y202" s="405"/>
      <c r="Z202" s="405"/>
      <c r="AA202" s="405"/>
      <c r="AB202" s="405"/>
      <c r="AC202" s="405"/>
      <c r="AD202" s="405"/>
      <c r="AE202" s="405"/>
      <c r="AF202" s="405"/>
      <c r="AG202" s="405"/>
      <c r="AH202" s="405"/>
      <c r="AI202" s="405"/>
      <c r="AJ202" s="405"/>
      <c r="AK202" s="405"/>
      <c r="AL202" s="405"/>
      <c r="AM202" s="405"/>
      <c r="AN202" s="405"/>
      <c r="AO202" s="405"/>
      <c r="AP202" s="405"/>
      <c r="AQ202" s="405"/>
      <c r="AR202" s="405"/>
      <c r="AS202" s="405"/>
      <c r="AT202" s="405"/>
      <c r="AU202" s="405"/>
      <c r="AV202" s="405"/>
      <c r="AW202" s="405"/>
      <c r="AX202" s="405"/>
      <c r="AY202" s="405"/>
      <c r="AZ202" s="405"/>
      <c r="BA202" s="405"/>
      <c r="BB202" s="405"/>
      <c r="BC202" s="405"/>
      <c r="BD202" s="405"/>
      <c r="BE202" s="405"/>
      <c r="BF202" s="405"/>
      <c r="BG202" s="405"/>
      <c r="BH202" s="405"/>
      <c r="BI202" s="405"/>
      <c r="BJ202" s="405"/>
      <c r="BK202" s="405"/>
      <c r="BL202" s="405"/>
      <c r="BM202" s="405"/>
      <c r="BN202" s="405"/>
      <c r="BO202" s="405"/>
      <c r="BP202" s="405"/>
      <c r="BQ202" s="405"/>
      <c r="BR202" s="405"/>
      <c r="BS202" s="405"/>
      <c r="BT202" s="405"/>
      <c r="BU202" s="405"/>
      <c r="BV202" s="405"/>
      <c r="BW202" s="405"/>
      <c r="BX202" s="405"/>
      <c r="BY202" s="405"/>
      <c r="BZ202" s="405"/>
      <c r="CA202" s="405"/>
      <c r="CB202" s="405"/>
      <c r="CC202" s="405"/>
      <c r="CD202" s="405"/>
      <c r="CE202" s="405"/>
      <c r="CF202" s="405"/>
      <c r="CG202" s="405"/>
      <c r="CH202" s="405"/>
      <c r="CI202" s="405"/>
      <c r="CJ202" s="405"/>
      <c r="CK202" s="405"/>
      <c r="CL202" s="405"/>
      <c r="CM202" s="405"/>
      <c r="CN202" s="405"/>
      <c r="CO202" s="405"/>
      <c r="CP202" s="405"/>
      <c r="CQ202" s="405"/>
      <c r="CR202" s="405"/>
      <c r="CS202" s="405"/>
      <c r="CT202" s="405"/>
      <c r="CU202" s="405"/>
      <c r="CV202" s="405"/>
      <c r="CW202" s="405"/>
      <c r="CX202" s="405"/>
      <c r="CY202" s="405"/>
      <c r="CZ202" s="405"/>
      <c r="DA202" s="405"/>
      <c r="DB202" s="405"/>
      <c r="DC202" s="405"/>
      <c r="DD202" s="405"/>
      <c r="DE202" s="405"/>
      <c r="DF202" s="405"/>
      <c r="DG202" s="405"/>
      <c r="DH202" s="405"/>
      <c r="DI202" s="405"/>
      <c r="DJ202" s="405"/>
      <c r="DK202" s="405"/>
      <c r="DL202" s="405"/>
      <c r="DM202" s="405"/>
      <c r="DN202" s="405"/>
      <c r="DO202" s="405"/>
      <c r="DP202" s="405"/>
      <c r="DQ202" s="405"/>
      <c r="DR202" s="405"/>
      <c r="DS202" s="405"/>
      <c r="DT202" s="405"/>
      <c r="DU202" s="405"/>
      <c r="DV202" s="405"/>
      <c r="DW202" s="405"/>
      <c r="DX202" s="405"/>
      <c r="DY202" s="405"/>
      <c r="DZ202" s="405"/>
      <c r="EA202" s="405"/>
      <c r="EB202" s="405"/>
      <c r="EC202" s="405"/>
      <c r="ED202" s="405"/>
      <c r="EE202" s="405"/>
      <c r="EF202" s="405"/>
      <c r="EG202" s="405"/>
      <c r="EH202" s="405"/>
      <c r="EI202" s="405"/>
      <c r="EJ202" s="405"/>
      <c r="EK202" s="405"/>
      <c r="EL202" s="405"/>
      <c r="EM202" s="405"/>
      <c r="EN202" s="405"/>
    </row>
    <row r="203" spans="2:144" ht="15" customHeight="1" outlineLevel="1">
      <c r="B203" s="403"/>
      <c r="C203" s="403"/>
      <c r="D203" s="403"/>
      <c r="E203" s="403"/>
      <c r="F203" s="403"/>
      <c r="G203" s="403"/>
      <c r="H203" s="403"/>
      <c r="J203" s="403"/>
      <c r="U203" s="405"/>
      <c r="V203" s="405"/>
      <c r="W203" s="405"/>
      <c r="X203" s="405"/>
      <c r="Y203" s="405"/>
      <c r="Z203" s="405"/>
      <c r="AA203" s="405"/>
      <c r="AB203" s="405"/>
      <c r="AC203" s="405"/>
      <c r="AD203" s="405"/>
      <c r="AE203" s="405"/>
      <c r="AF203" s="405"/>
      <c r="AG203" s="405"/>
      <c r="AH203" s="405"/>
      <c r="AI203" s="405"/>
      <c r="AJ203" s="405"/>
      <c r="AK203" s="405"/>
      <c r="AL203" s="405"/>
      <c r="AM203" s="405"/>
      <c r="AN203" s="405"/>
      <c r="AO203" s="405"/>
      <c r="AP203" s="405"/>
      <c r="AQ203" s="405"/>
      <c r="AR203" s="405"/>
      <c r="AS203" s="405"/>
      <c r="AT203" s="405"/>
      <c r="AU203" s="405"/>
      <c r="AV203" s="405"/>
      <c r="AW203" s="405"/>
      <c r="AX203" s="405"/>
      <c r="AY203" s="405"/>
      <c r="AZ203" s="405"/>
      <c r="BA203" s="405"/>
      <c r="BB203" s="405"/>
      <c r="BC203" s="405"/>
      <c r="BD203" s="405"/>
      <c r="BE203" s="405"/>
      <c r="BF203" s="405"/>
      <c r="BG203" s="405"/>
      <c r="BH203" s="405"/>
      <c r="BI203" s="405"/>
      <c r="BJ203" s="405"/>
      <c r="BK203" s="405"/>
      <c r="BL203" s="405"/>
      <c r="BM203" s="405"/>
      <c r="BN203" s="405"/>
      <c r="BO203" s="405"/>
      <c r="BP203" s="405"/>
      <c r="BQ203" s="405"/>
      <c r="BR203" s="405"/>
      <c r="BS203" s="405"/>
      <c r="BT203" s="405"/>
      <c r="BU203" s="405"/>
      <c r="BV203" s="405"/>
      <c r="BW203" s="405"/>
      <c r="BX203" s="405"/>
      <c r="BY203" s="405"/>
      <c r="BZ203" s="405"/>
      <c r="CA203" s="405"/>
      <c r="CB203" s="405"/>
      <c r="CC203" s="405"/>
      <c r="CD203" s="405"/>
      <c r="CE203" s="405"/>
      <c r="CF203" s="405"/>
      <c r="CG203" s="405"/>
      <c r="CH203" s="405"/>
      <c r="CI203" s="405"/>
      <c r="CJ203" s="405"/>
      <c r="CK203" s="405"/>
      <c r="CL203" s="405"/>
      <c r="CM203" s="405"/>
      <c r="CN203" s="405"/>
      <c r="CO203" s="405"/>
      <c r="CP203" s="405"/>
      <c r="CQ203" s="405"/>
      <c r="CR203" s="405"/>
      <c r="CS203" s="405"/>
      <c r="CT203" s="405"/>
      <c r="CU203" s="405"/>
      <c r="CV203" s="405"/>
      <c r="CW203" s="405"/>
      <c r="CX203" s="405"/>
      <c r="CY203" s="405"/>
      <c r="CZ203" s="405"/>
      <c r="DA203" s="405"/>
      <c r="DB203" s="405"/>
      <c r="DC203" s="405"/>
      <c r="DD203" s="405"/>
      <c r="DE203" s="405"/>
      <c r="DF203" s="405"/>
      <c r="DG203" s="405"/>
      <c r="DH203" s="405"/>
      <c r="DI203" s="405"/>
      <c r="DJ203" s="405"/>
      <c r="DK203" s="405"/>
      <c r="DL203" s="405"/>
      <c r="DM203" s="405"/>
      <c r="DN203" s="405"/>
      <c r="DO203" s="405"/>
      <c r="DP203" s="405"/>
      <c r="DQ203" s="405"/>
      <c r="DR203" s="405"/>
      <c r="DS203" s="405"/>
      <c r="DT203" s="405"/>
      <c r="DU203" s="405"/>
      <c r="DV203" s="405"/>
      <c r="DW203" s="405"/>
      <c r="DX203" s="405"/>
      <c r="DY203" s="405"/>
      <c r="DZ203" s="405"/>
      <c r="EA203" s="405"/>
      <c r="EB203" s="405"/>
      <c r="EC203" s="405"/>
      <c r="ED203" s="405"/>
      <c r="EE203" s="405"/>
      <c r="EF203" s="405"/>
      <c r="EG203" s="405"/>
      <c r="EH203" s="405"/>
      <c r="EI203" s="405"/>
      <c r="EJ203" s="405"/>
      <c r="EK203" s="405"/>
      <c r="EL203" s="405"/>
      <c r="EM203" s="405"/>
      <c r="EN203" s="405"/>
    </row>
    <row r="204" spans="2:144" ht="15" customHeight="1">
      <c r="B204" s="459" t="str">
        <f>VLOOKUP("Input_5_Header",Hidden_Translations!$B$11:$J$1184,Hidden_Translations!$C$8,FALSE)</f>
        <v>#5: Distribution center</v>
      </c>
      <c r="C204" s="459"/>
      <c r="D204" s="459"/>
      <c r="E204" s="459"/>
      <c r="F204" s="459"/>
      <c r="G204" s="459"/>
      <c r="H204" s="459"/>
      <c r="J204" s="403"/>
      <c r="U204" s="405"/>
      <c r="V204" s="405"/>
      <c r="W204" s="405"/>
      <c r="X204" s="405"/>
      <c r="Y204" s="405"/>
      <c r="Z204" s="405"/>
      <c r="AA204" s="405"/>
      <c r="AB204" s="405"/>
      <c r="AC204" s="405"/>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5"/>
      <c r="AY204" s="405"/>
      <c r="AZ204" s="405"/>
      <c r="BA204" s="405"/>
      <c r="BB204" s="405"/>
      <c r="BC204" s="405"/>
      <c r="BD204" s="405"/>
      <c r="BE204" s="405"/>
      <c r="BF204" s="405"/>
      <c r="BG204" s="405"/>
      <c r="BH204" s="405"/>
      <c r="BI204" s="405"/>
      <c r="BJ204" s="405"/>
      <c r="BK204" s="405"/>
      <c r="BL204" s="405"/>
      <c r="BM204" s="405"/>
      <c r="BN204" s="405"/>
      <c r="BO204" s="405"/>
      <c r="BP204" s="405"/>
      <c r="BQ204" s="405"/>
      <c r="BR204" s="405"/>
      <c r="BS204" s="405"/>
      <c r="BT204" s="405"/>
      <c r="BU204" s="405"/>
      <c r="BV204" s="405"/>
      <c r="BW204" s="405"/>
      <c r="BX204" s="405"/>
      <c r="BY204" s="405"/>
      <c r="BZ204" s="405"/>
      <c r="CA204" s="405"/>
      <c r="CB204" s="405"/>
      <c r="CC204" s="405"/>
      <c r="CD204" s="405"/>
      <c r="CE204" s="405"/>
      <c r="CF204" s="405"/>
      <c r="CG204" s="405"/>
      <c r="CH204" s="405"/>
      <c r="CI204" s="405"/>
      <c r="CJ204" s="405"/>
      <c r="CK204" s="405"/>
      <c r="CL204" s="405"/>
      <c r="CM204" s="405"/>
      <c r="CN204" s="405"/>
      <c r="CO204" s="405"/>
      <c r="CP204" s="405"/>
      <c r="CQ204" s="405"/>
      <c r="CR204" s="405"/>
      <c r="CS204" s="405"/>
      <c r="CT204" s="405"/>
      <c r="CU204" s="405"/>
      <c r="CV204" s="405"/>
      <c r="CW204" s="405"/>
      <c r="CX204" s="405"/>
      <c r="CY204" s="405"/>
      <c r="CZ204" s="405"/>
      <c r="DA204" s="405"/>
      <c r="DB204" s="405"/>
      <c r="DC204" s="405"/>
      <c r="DD204" s="405"/>
      <c r="DE204" s="405"/>
      <c r="DF204" s="405"/>
      <c r="DG204" s="405"/>
      <c r="DH204" s="405"/>
      <c r="DI204" s="405"/>
      <c r="DJ204" s="405"/>
      <c r="DK204" s="405"/>
      <c r="DL204" s="405"/>
      <c r="DM204" s="405"/>
      <c r="DN204" s="405"/>
      <c r="DO204" s="405"/>
      <c r="DP204" s="405"/>
      <c r="DQ204" s="405"/>
      <c r="DR204" s="405"/>
      <c r="DS204" s="405"/>
      <c r="DT204" s="405"/>
      <c r="DU204" s="405"/>
      <c r="DV204" s="405"/>
      <c r="DW204" s="405"/>
      <c r="DX204" s="405"/>
      <c r="DY204" s="405"/>
      <c r="DZ204" s="405"/>
      <c r="EA204" s="405"/>
      <c r="EB204" s="405"/>
      <c r="EC204" s="405"/>
      <c r="ED204" s="405"/>
      <c r="EE204" s="405"/>
      <c r="EF204" s="405"/>
      <c r="EG204" s="405"/>
      <c r="EH204" s="405"/>
      <c r="EI204" s="405"/>
      <c r="EJ204" s="405"/>
      <c r="EK204" s="405"/>
      <c r="EL204" s="405"/>
      <c r="EM204" s="405"/>
      <c r="EN204" s="405"/>
    </row>
    <row r="205" spans="2:144" ht="15" customHeight="1">
      <c r="B205" s="471"/>
      <c r="C205" s="471"/>
      <c r="D205" s="471"/>
      <c r="E205" s="474"/>
      <c r="F205" s="474"/>
      <c r="G205" s="474"/>
      <c r="H205" s="474"/>
      <c r="J205" s="403"/>
      <c r="U205" s="405"/>
      <c r="V205" s="405"/>
      <c r="W205" s="405"/>
      <c r="X205" s="405"/>
      <c r="Y205" s="405"/>
      <c r="Z205" s="405"/>
      <c r="AA205" s="405"/>
      <c r="AB205" s="405"/>
      <c r="AC205" s="405"/>
      <c r="AD205" s="405"/>
      <c r="AE205" s="405"/>
      <c r="AF205" s="405"/>
      <c r="AG205" s="405"/>
      <c r="AH205" s="405"/>
      <c r="AI205" s="405"/>
      <c r="AJ205" s="405"/>
      <c r="AK205" s="405"/>
      <c r="AL205" s="405"/>
      <c r="AM205" s="405"/>
      <c r="AN205" s="405"/>
      <c r="AO205" s="405"/>
      <c r="AP205" s="405"/>
      <c r="AQ205" s="405"/>
      <c r="AR205" s="405"/>
      <c r="AS205" s="405"/>
      <c r="AT205" s="405"/>
      <c r="AU205" s="405"/>
      <c r="AV205" s="405"/>
      <c r="AW205" s="405"/>
      <c r="AX205" s="405"/>
      <c r="AY205" s="405"/>
      <c r="AZ205" s="405"/>
      <c r="BA205" s="405"/>
      <c r="BB205" s="405"/>
      <c r="BC205" s="405"/>
      <c r="BD205" s="405"/>
      <c r="BE205" s="405"/>
      <c r="BF205" s="405"/>
      <c r="BG205" s="405"/>
      <c r="BH205" s="405"/>
      <c r="BI205" s="405"/>
      <c r="BJ205" s="405"/>
      <c r="BK205" s="405"/>
      <c r="BL205" s="405"/>
      <c r="BM205" s="405"/>
      <c r="BN205" s="405"/>
      <c r="BO205" s="405"/>
      <c r="BP205" s="405"/>
      <c r="BQ205" s="405"/>
      <c r="BR205" s="405"/>
      <c r="BS205" s="405"/>
      <c r="BT205" s="405"/>
      <c r="BU205" s="405"/>
      <c r="BV205" s="405"/>
      <c r="BW205" s="405"/>
      <c r="BX205" s="405"/>
      <c r="BY205" s="405"/>
      <c r="BZ205" s="405"/>
      <c r="CA205" s="405"/>
      <c r="CB205" s="405"/>
      <c r="CC205" s="405"/>
      <c r="CD205" s="405"/>
      <c r="CE205" s="405"/>
      <c r="CF205" s="405"/>
      <c r="CG205" s="405"/>
      <c r="CH205" s="405"/>
      <c r="CI205" s="405"/>
      <c r="CJ205" s="405"/>
      <c r="CK205" s="405"/>
      <c r="CL205" s="405"/>
      <c r="CM205" s="405"/>
      <c r="CN205" s="405"/>
      <c r="CO205" s="405"/>
      <c r="CP205" s="405"/>
      <c r="CQ205" s="405"/>
      <c r="CR205" s="405"/>
      <c r="CS205" s="405"/>
      <c r="CT205" s="405"/>
      <c r="CU205" s="405"/>
      <c r="CV205" s="405"/>
      <c r="CW205" s="405"/>
      <c r="CX205" s="405"/>
      <c r="CY205" s="405"/>
      <c r="CZ205" s="405"/>
      <c r="DA205" s="405"/>
      <c r="DB205" s="405"/>
      <c r="DC205" s="405"/>
      <c r="DD205" s="405"/>
      <c r="DE205" s="405"/>
      <c r="DF205" s="405"/>
      <c r="DG205" s="405"/>
      <c r="DH205" s="405"/>
      <c r="DI205" s="405"/>
      <c r="DJ205" s="405"/>
      <c r="DK205" s="405"/>
      <c r="DL205" s="405"/>
      <c r="DM205" s="405"/>
      <c r="DN205" s="405"/>
      <c r="DO205" s="405"/>
      <c r="DP205" s="405"/>
      <c r="DQ205" s="405"/>
      <c r="DR205" s="405"/>
      <c r="DS205" s="405"/>
      <c r="DT205" s="405"/>
      <c r="DU205" s="405"/>
      <c r="DV205" s="405"/>
      <c r="DW205" s="405"/>
      <c r="DX205" s="405"/>
      <c r="DY205" s="405"/>
      <c r="DZ205" s="405"/>
      <c r="EA205" s="405"/>
      <c r="EB205" s="405"/>
      <c r="EC205" s="405"/>
      <c r="ED205" s="405"/>
      <c r="EE205" s="405"/>
      <c r="EF205" s="405"/>
      <c r="EG205" s="405"/>
      <c r="EH205" s="405"/>
      <c r="EI205" s="405"/>
      <c r="EJ205" s="405"/>
      <c r="EK205" s="405"/>
      <c r="EL205" s="405"/>
      <c r="EM205" s="405"/>
      <c r="EN205" s="405"/>
    </row>
    <row r="206" spans="2:144" ht="15" customHeight="1" outlineLevel="1">
      <c r="B206" s="471" t="str">
        <f>VLOOKUP("Input_5_Header_Text",Hidden_Translations!$B$11:$J$1184,Hidden_Translations!$C$8,FALSE)</f>
        <v xml:space="preserve">This step adresses the storage of products at the distribution center. </v>
      </c>
      <c r="C206" s="471"/>
      <c r="D206" s="471"/>
      <c r="E206" s="474"/>
      <c r="F206" s="474"/>
      <c r="G206" s="474"/>
      <c r="H206" s="474"/>
      <c r="J206" s="403"/>
      <c r="U206" s="405"/>
      <c r="V206" s="405"/>
      <c r="W206" s="405"/>
      <c r="X206" s="405"/>
      <c r="Y206" s="405"/>
      <c r="Z206" s="405"/>
      <c r="AA206" s="405"/>
      <c r="AB206" s="405"/>
      <c r="AC206" s="405"/>
      <c r="AD206" s="405"/>
      <c r="AE206" s="405"/>
      <c r="AF206" s="405"/>
      <c r="AG206" s="405"/>
      <c r="AH206" s="405"/>
      <c r="AI206" s="405"/>
      <c r="AJ206" s="405"/>
      <c r="AK206" s="405"/>
      <c r="AL206" s="405"/>
      <c r="AM206" s="405"/>
      <c r="AN206" s="405"/>
      <c r="AO206" s="405"/>
      <c r="AP206" s="405"/>
      <c r="AQ206" s="405"/>
      <c r="AR206" s="405"/>
      <c r="AS206" s="405"/>
      <c r="AT206" s="405"/>
      <c r="AU206" s="405"/>
      <c r="AV206" s="405"/>
      <c r="AW206" s="405"/>
      <c r="AX206" s="405"/>
      <c r="AY206" s="405"/>
      <c r="AZ206" s="405"/>
      <c r="BA206" s="405"/>
      <c r="BB206" s="405"/>
      <c r="BC206" s="405"/>
      <c r="BD206" s="405"/>
      <c r="BE206" s="405"/>
      <c r="BF206" s="405"/>
      <c r="BG206" s="405"/>
      <c r="BH206" s="405"/>
      <c r="BI206" s="405"/>
      <c r="BJ206" s="405"/>
      <c r="BK206" s="405"/>
      <c r="BL206" s="405"/>
      <c r="BM206" s="405"/>
      <c r="BN206" s="405"/>
      <c r="BO206" s="405"/>
      <c r="BP206" s="405"/>
      <c r="BQ206" s="405"/>
      <c r="BR206" s="405"/>
      <c r="BS206" s="405"/>
      <c r="BT206" s="405"/>
      <c r="BU206" s="405"/>
      <c r="BV206" s="405"/>
      <c r="BW206" s="405"/>
      <c r="BX206" s="405"/>
      <c r="BY206" s="405"/>
      <c r="BZ206" s="405"/>
      <c r="CA206" s="405"/>
      <c r="CB206" s="405"/>
      <c r="CC206" s="405"/>
      <c r="CD206" s="405"/>
      <c r="CE206" s="405"/>
      <c r="CF206" s="405"/>
      <c r="CG206" s="405"/>
      <c r="CH206" s="405"/>
      <c r="CI206" s="405"/>
      <c r="CJ206" s="405"/>
      <c r="CK206" s="405"/>
      <c r="CL206" s="405"/>
      <c r="CM206" s="405"/>
      <c r="CN206" s="405"/>
      <c r="CO206" s="405"/>
      <c r="CP206" s="405"/>
      <c r="CQ206" s="405"/>
      <c r="CR206" s="405"/>
      <c r="CS206" s="405"/>
      <c r="CT206" s="405"/>
      <c r="CU206" s="405"/>
      <c r="CV206" s="405"/>
      <c r="CW206" s="405"/>
      <c r="CX206" s="405"/>
      <c r="CY206" s="405"/>
      <c r="CZ206" s="405"/>
      <c r="DA206" s="405"/>
      <c r="DB206" s="405"/>
      <c r="DC206" s="405"/>
      <c r="DD206" s="405"/>
      <c r="DE206" s="405"/>
      <c r="DF206" s="405"/>
      <c r="DG206" s="405"/>
      <c r="DH206" s="405"/>
      <c r="DI206" s="405"/>
      <c r="DJ206" s="405"/>
      <c r="DK206" s="405"/>
      <c r="DL206" s="405"/>
      <c r="DM206" s="405"/>
      <c r="DN206" s="405"/>
      <c r="DO206" s="405"/>
      <c r="DP206" s="405"/>
      <c r="DQ206" s="405"/>
      <c r="DR206" s="405"/>
      <c r="DS206" s="405"/>
      <c r="DT206" s="405"/>
      <c r="DU206" s="405"/>
      <c r="DV206" s="405"/>
      <c r="DW206" s="405"/>
      <c r="DX206" s="405"/>
      <c r="DY206" s="405"/>
      <c r="DZ206" s="405"/>
      <c r="EA206" s="405"/>
      <c r="EB206" s="405"/>
      <c r="EC206" s="405"/>
      <c r="ED206" s="405"/>
      <c r="EE206" s="405"/>
      <c r="EF206" s="405"/>
      <c r="EG206" s="405"/>
      <c r="EH206" s="405"/>
      <c r="EI206" s="405"/>
      <c r="EJ206" s="405"/>
      <c r="EK206" s="405"/>
      <c r="EL206" s="405"/>
      <c r="EM206" s="405"/>
      <c r="EN206" s="405"/>
    </row>
    <row r="207" spans="2:144" ht="15" customHeight="1" outlineLevel="1">
      <c r="B207" s="471"/>
      <c r="C207" s="471"/>
      <c r="D207" s="471"/>
      <c r="E207" s="474"/>
      <c r="F207" s="474"/>
      <c r="G207" s="474"/>
      <c r="H207" s="474"/>
      <c r="J207" s="403"/>
      <c r="U207" s="405"/>
      <c r="V207" s="405"/>
      <c r="W207" s="405"/>
      <c r="X207" s="405"/>
      <c r="Y207" s="405"/>
      <c r="Z207" s="405"/>
      <c r="AA207" s="405"/>
      <c r="AB207" s="405"/>
      <c r="AC207" s="405"/>
      <c r="AD207" s="405"/>
      <c r="AE207" s="405"/>
      <c r="AF207" s="405"/>
      <c r="AG207" s="405"/>
      <c r="AH207" s="405"/>
      <c r="AI207" s="405"/>
      <c r="AJ207" s="405"/>
      <c r="AK207" s="405"/>
      <c r="AL207" s="405"/>
      <c r="AM207" s="405"/>
      <c r="AN207" s="405"/>
      <c r="AO207" s="405"/>
      <c r="AP207" s="405"/>
      <c r="AQ207" s="405"/>
      <c r="AR207" s="405"/>
      <c r="AS207" s="405"/>
      <c r="AT207" s="405"/>
      <c r="AU207" s="405"/>
      <c r="AV207" s="405"/>
      <c r="AW207" s="405"/>
      <c r="AX207" s="405"/>
      <c r="AY207" s="405"/>
      <c r="AZ207" s="405"/>
      <c r="BA207" s="405"/>
      <c r="BB207" s="405"/>
      <c r="BC207" s="405"/>
      <c r="BD207" s="405"/>
      <c r="BE207" s="405"/>
      <c r="BF207" s="405"/>
      <c r="BG207" s="405"/>
      <c r="BH207" s="405"/>
      <c r="BI207" s="405"/>
      <c r="BJ207" s="405"/>
      <c r="BK207" s="405"/>
      <c r="BL207" s="405"/>
      <c r="BM207" s="405"/>
      <c r="BN207" s="405"/>
      <c r="BO207" s="405"/>
      <c r="BP207" s="405"/>
      <c r="BQ207" s="405"/>
      <c r="BR207" s="405"/>
      <c r="BS207" s="405"/>
      <c r="BT207" s="405"/>
      <c r="BU207" s="405"/>
      <c r="BV207" s="405"/>
      <c r="BW207" s="405"/>
      <c r="BX207" s="405"/>
      <c r="BY207" s="405"/>
      <c r="BZ207" s="405"/>
      <c r="CA207" s="405"/>
      <c r="CB207" s="405"/>
      <c r="CC207" s="405"/>
      <c r="CD207" s="405"/>
      <c r="CE207" s="405"/>
      <c r="CF207" s="405"/>
      <c r="CG207" s="405"/>
      <c r="CH207" s="405"/>
      <c r="CI207" s="405"/>
      <c r="CJ207" s="405"/>
      <c r="CK207" s="405"/>
      <c r="CL207" s="405"/>
      <c r="CM207" s="405"/>
      <c r="CN207" s="405"/>
      <c r="CO207" s="405"/>
      <c r="CP207" s="405"/>
      <c r="CQ207" s="405"/>
      <c r="CR207" s="405"/>
      <c r="CS207" s="405"/>
      <c r="CT207" s="405"/>
      <c r="CU207" s="405"/>
      <c r="CV207" s="405"/>
      <c r="CW207" s="405"/>
      <c r="CX207" s="405"/>
      <c r="CY207" s="405"/>
      <c r="CZ207" s="405"/>
      <c r="DA207" s="405"/>
      <c r="DB207" s="405"/>
      <c r="DC207" s="405"/>
      <c r="DD207" s="405"/>
      <c r="DE207" s="405"/>
      <c r="DF207" s="405"/>
      <c r="DG207" s="405"/>
      <c r="DH207" s="405"/>
      <c r="DI207" s="405"/>
      <c r="DJ207" s="405"/>
      <c r="DK207" s="405"/>
      <c r="DL207" s="405"/>
      <c r="DM207" s="405"/>
      <c r="DN207" s="405"/>
      <c r="DO207" s="405"/>
      <c r="DP207" s="405"/>
      <c r="DQ207" s="405"/>
      <c r="DR207" s="405"/>
      <c r="DS207" s="405"/>
      <c r="DT207" s="405"/>
      <c r="DU207" s="405"/>
      <c r="DV207" s="405"/>
      <c r="DW207" s="405"/>
      <c r="DX207" s="405"/>
      <c r="DY207" s="405"/>
      <c r="DZ207" s="405"/>
      <c r="EA207" s="405"/>
      <c r="EB207" s="405"/>
      <c r="EC207" s="405"/>
      <c r="ED207" s="405"/>
      <c r="EE207" s="405"/>
      <c r="EF207" s="405"/>
      <c r="EG207" s="405"/>
      <c r="EH207" s="405"/>
      <c r="EI207" s="405"/>
      <c r="EJ207" s="405"/>
      <c r="EK207" s="405"/>
      <c r="EL207" s="405"/>
      <c r="EM207" s="405"/>
      <c r="EN207" s="405"/>
    </row>
    <row r="208" spans="2:144" ht="15" customHeight="1" outlineLevel="1">
      <c r="B208" s="476" t="str">
        <f>VLOOKUP("Input_5_Storage",Hidden_Translations!$B$11:$J$1184,Hidden_Translations!$C$8,FALSE)</f>
        <v>Storage</v>
      </c>
      <c r="C208" s="459"/>
      <c r="D208" s="459"/>
      <c r="E208" s="459"/>
      <c r="F208" s="459"/>
      <c r="G208" s="459"/>
      <c r="H208" s="459"/>
      <c r="J208" s="403"/>
      <c r="U208" s="405"/>
      <c r="V208" s="405"/>
      <c r="W208" s="405"/>
      <c r="X208" s="405"/>
      <c r="Y208" s="405"/>
      <c r="Z208" s="405"/>
      <c r="AA208" s="405"/>
      <c r="AB208" s="405"/>
      <c r="AC208" s="405"/>
      <c r="AD208" s="405"/>
      <c r="AE208" s="405"/>
      <c r="AF208" s="405"/>
      <c r="AG208" s="405"/>
      <c r="AH208" s="405"/>
      <c r="AI208" s="405"/>
      <c r="AJ208" s="405"/>
      <c r="AK208" s="405"/>
      <c r="AL208" s="405"/>
      <c r="AM208" s="405"/>
      <c r="AN208" s="405"/>
      <c r="AO208" s="405"/>
      <c r="AP208" s="405"/>
      <c r="AQ208" s="405"/>
      <c r="AR208" s="405"/>
      <c r="AS208" s="405"/>
      <c r="AT208" s="405"/>
      <c r="AU208" s="405"/>
      <c r="AV208" s="405"/>
      <c r="AW208" s="405"/>
      <c r="AX208" s="405"/>
      <c r="AY208" s="405"/>
      <c r="AZ208" s="405"/>
      <c r="BA208" s="405"/>
      <c r="BB208" s="405"/>
      <c r="BC208" s="405"/>
      <c r="BD208" s="405"/>
      <c r="BE208" s="405"/>
      <c r="BF208" s="405"/>
      <c r="BG208" s="405"/>
      <c r="BH208" s="405"/>
      <c r="BI208" s="405"/>
      <c r="BJ208" s="405"/>
      <c r="BK208" s="405"/>
      <c r="BL208" s="405"/>
      <c r="BM208" s="405"/>
      <c r="BN208" s="405"/>
      <c r="BO208" s="405"/>
      <c r="BP208" s="405"/>
      <c r="BQ208" s="405"/>
      <c r="BR208" s="405"/>
      <c r="BS208" s="405"/>
      <c r="BT208" s="405"/>
      <c r="BU208" s="405"/>
      <c r="BV208" s="405"/>
      <c r="BW208" s="405"/>
      <c r="BX208" s="405"/>
      <c r="BY208" s="405"/>
      <c r="BZ208" s="405"/>
      <c r="CA208" s="405"/>
      <c r="CB208" s="405"/>
      <c r="CC208" s="405"/>
      <c r="CD208" s="405"/>
      <c r="CE208" s="405"/>
      <c r="CF208" s="405"/>
      <c r="CG208" s="405"/>
      <c r="CH208" s="405"/>
      <c r="CI208" s="405"/>
      <c r="CJ208" s="405"/>
      <c r="CK208" s="405"/>
      <c r="CL208" s="405"/>
      <c r="CM208" s="405"/>
      <c r="CN208" s="405"/>
      <c r="CO208" s="405"/>
      <c r="CP208" s="405"/>
      <c r="CQ208" s="405"/>
      <c r="CR208" s="405"/>
      <c r="CS208" s="405"/>
      <c r="CT208" s="405"/>
      <c r="CU208" s="405"/>
      <c r="CV208" s="405"/>
      <c r="CW208" s="405"/>
      <c r="CX208" s="405"/>
      <c r="CY208" s="405"/>
      <c r="CZ208" s="405"/>
      <c r="DA208" s="405"/>
      <c r="DB208" s="405"/>
      <c r="DC208" s="405"/>
      <c r="DD208" s="405"/>
      <c r="DE208" s="405"/>
      <c r="DF208" s="405"/>
      <c r="DG208" s="405"/>
      <c r="DH208" s="405"/>
      <c r="DI208" s="405"/>
      <c r="DJ208" s="405"/>
      <c r="DK208" s="405"/>
      <c r="DL208" s="405"/>
      <c r="DM208" s="405"/>
      <c r="DN208" s="405"/>
      <c r="DO208" s="405"/>
      <c r="DP208" s="405"/>
      <c r="DQ208" s="405"/>
      <c r="DR208" s="405"/>
      <c r="DS208" s="405"/>
      <c r="DT208" s="405"/>
      <c r="DU208" s="405"/>
      <c r="DV208" s="405"/>
      <c r="DW208" s="405"/>
      <c r="DX208" s="405"/>
      <c r="DY208" s="405"/>
      <c r="DZ208" s="405"/>
      <c r="EA208" s="405"/>
      <c r="EB208" s="405"/>
      <c r="EC208" s="405"/>
      <c r="ED208" s="405"/>
      <c r="EE208" s="405"/>
      <c r="EF208" s="405"/>
      <c r="EG208" s="405"/>
      <c r="EH208" s="405"/>
      <c r="EI208" s="405"/>
      <c r="EJ208" s="405"/>
      <c r="EK208" s="405"/>
      <c r="EL208" s="405"/>
      <c r="EM208" s="405"/>
      <c r="EN208" s="405"/>
    </row>
    <row r="209" spans="2:144" ht="15" customHeight="1" outlineLevel="1">
      <c r="B209" s="471"/>
      <c r="C209" s="474"/>
      <c r="D209" s="474"/>
      <c r="E209" s="474"/>
      <c r="F209" s="474"/>
      <c r="G209" s="474"/>
      <c r="H209" s="474"/>
      <c r="J209" s="403"/>
      <c r="U209" s="405"/>
      <c r="V209" s="405"/>
      <c r="W209" s="405"/>
      <c r="X209" s="405"/>
      <c r="Y209" s="405"/>
      <c r="Z209" s="405"/>
      <c r="AA209" s="405"/>
      <c r="AB209" s="405"/>
      <c r="AC209" s="405"/>
      <c r="AD209" s="405"/>
      <c r="AE209" s="405"/>
      <c r="AF209" s="405"/>
      <c r="AG209" s="405"/>
      <c r="AH209" s="405"/>
      <c r="AI209" s="405"/>
      <c r="AJ209" s="405"/>
      <c r="AK209" s="405"/>
      <c r="AL209" s="405"/>
      <c r="AM209" s="405"/>
      <c r="AN209" s="405"/>
      <c r="AO209" s="405"/>
      <c r="AP209" s="405"/>
      <c r="AQ209" s="405"/>
      <c r="AR209" s="405"/>
      <c r="AS209" s="405"/>
      <c r="AT209" s="405"/>
      <c r="AU209" s="405"/>
      <c r="AV209" s="405"/>
      <c r="AW209" s="405"/>
      <c r="AX209" s="405"/>
      <c r="AY209" s="405"/>
      <c r="AZ209" s="405"/>
      <c r="BA209" s="405"/>
      <c r="BB209" s="405"/>
      <c r="BC209" s="405"/>
      <c r="BD209" s="405"/>
      <c r="BE209" s="405"/>
      <c r="BF209" s="405"/>
      <c r="BG209" s="405"/>
      <c r="BH209" s="405"/>
      <c r="BI209" s="405"/>
      <c r="BJ209" s="405"/>
      <c r="BK209" s="405"/>
      <c r="BL209" s="405"/>
      <c r="BM209" s="405"/>
      <c r="BN209" s="405"/>
      <c r="BO209" s="405"/>
      <c r="BP209" s="405"/>
      <c r="BQ209" s="405"/>
      <c r="BR209" s="405"/>
      <c r="BS209" s="405"/>
      <c r="BT209" s="405"/>
      <c r="BU209" s="405"/>
      <c r="BV209" s="405"/>
      <c r="BW209" s="405"/>
      <c r="BX209" s="405"/>
      <c r="BY209" s="405"/>
      <c r="BZ209" s="405"/>
      <c r="CA209" s="405"/>
      <c r="CB209" s="405"/>
      <c r="CC209" s="405"/>
      <c r="CD209" s="405"/>
      <c r="CE209" s="405"/>
      <c r="CF209" s="405"/>
      <c r="CG209" s="405"/>
      <c r="CH209" s="405"/>
      <c r="CI209" s="405"/>
      <c r="CJ209" s="405"/>
      <c r="CK209" s="405"/>
      <c r="CL209" s="405"/>
      <c r="CM209" s="405"/>
      <c r="CN209" s="405"/>
      <c r="CO209" s="405"/>
      <c r="CP209" s="405"/>
      <c r="CQ209" s="405"/>
      <c r="CR209" s="405"/>
      <c r="CS209" s="405"/>
      <c r="CT209" s="405"/>
      <c r="CU209" s="405"/>
      <c r="CV209" s="405"/>
      <c r="CW209" s="405"/>
      <c r="CX209" s="405"/>
      <c r="CY209" s="405"/>
      <c r="CZ209" s="405"/>
      <c r="DA209" s="405"/>
      <c r="DB209" s="405"/>
      <c r="DC209" s="405"/>
      <c r="DD209" s="405"/>
      <c r="DE209" s="405"/>
      <c r="DF209" s="405"/>
      <c r="DG209" s="405"/>
      <c r="DH209" s="405"/>
      <c r="DI209" s="405"/>
      <c r="DJ209" s="405"/>
      <c r="DK209" s="405"/>
      <c r="DL209" s="405"/>
      <c r="DM209" s="405"/>
      <c r="DN209" s="405"/>
      <c r="DO209" s="405"/>
      <c r="DP209" s="405"/>
      <c r="DQ209" s="405"/>
      <c r="DR209" s="405"/>
      <c r="DS209" s="405"/>
      <c r="DT209" s="405"/>
      <c r="DU209" s="405"/>
      <c r="DV209" s="405"/>
      <c r="DW209" s="405"/>
      <c r="DX209" s="405"/>
      <c r="DY209" s="405"/>
      <c r="DZ209" s="405"/>
      <c r="EA209" s="405"/>
      <c r="EB209" s="405"/>
      <c r="EC209" s="405"/>
      <c r="ED209" s="405"/>
      <c r="EE209" s="405"/>
      <c r="EF209" s="405"/>
      <c r="EG209" s="405"/>
      <c r="EH209" s="405"/>
      <c r="EI209" s="405"/>
      <c r="EJ209" s="405"/>
      <c r="EK209" s="405"/>
      <c r="EL209" s="405"/>
      <c r="EM209" s="405"/>
      <c r="EN209" s="405"/>
    </row>
    <row r="210" spans="2:144" ht="15" customHeight="1" outlineLevel="1">
      <c r="B210" s="411" t="str">
        <f>B171</f>
        <v>Storage time of a batch at the warehouse</v>
      </c>
      <c r="C210" s="411"/>
      <c r="D210" s="411"/>
      <c r="E210" s="411"/>
      <c r="F210" s="258">
        <v>0</v>
      </c>
      <c r="G210" s="411" t="str">
        <f>G171</f>
        <v>[d]</v>
      </c>
      <c r="H210" s="411"/>
      <c r="J210" s="403"/>
      <c r="U210" s="405"/>
      <c r="V210" s="405"/>
      <c r="W210" s="405"/>
      <c r="X210" s="405"/>
      <c r="Y210" s="405"/>
      <c r="Z210" s="405"/>
      <c r="AA210" s="405"/>
      <c r="AB210" s="405"/>
      <c r="AC210" s="405"/>
      <c r="AD210" s="405"/>
      <c r="AE210" s="405"/>
      <c r="AF210" s="405"/>
      <c r="AG210" s="405"/>
      <c r="AH210" s="405"/>
      <c r="AI210" s="405"/>
      <c r="AJ210" s="405"/>
      <c r="AK210" s="405"/>
      <c r="AL210" s="405"/>
      <c r="AM210" s="405"/>
      <c r="AN210" s="405"/>
      <c r="AO210" s="405"/>
      <c r="AP210" s="405"/>
      <c r="AQ210" s="405"/>
      <c r="AR210" s="405"/>
      <c r="AS210" s="405"/>
      <c r="AT210" s="405"/>
      <c r="AU210" s="405"/>
      <c r="AV210" s="405"/>
      <c r="AW210" s="405"/>
      <c r="AX210" s="405"/>
      <c r="AY210" s="405"/>
      <c r="AZ210" s="405"/>
      <c r="BA210" s="405"/>
      <c r="BB210" s="405"/>
      <c r="BC210" s="405"/>
      <c r="BD210" s="405"/>
      <c r="BE210" s="405"/>
      <c r="BF210" s="405"/>
      <c r="BG210" s="405"/>
      <c r="BH210" s="405"/>
      <c r="BI210" s="405"/>
      <c r="BJ210" s="405"/>
      <c r="BK210" s="405"/>
      <c r="BL210" s="405"/>
      <c r="BM210" s="405"/>
      <c r="BN210" s="405"/>
      <c r="BO210" s="405"/>
      <c r="BP210" s="405"/>
      <c r="BQ210" s="405"/>
      <c r="BR210" s="405"/>
      <c r="BS210" s="405"/>
      <c r="BT210" s="405"/>
      <c r="BU210" s="405"/>
      <c r="BV210" s="405"/>
      <c r="BW210" s="405"/>
      <c r="BX210" s="405"/>
      <c r="BY210" s="405"/>
      <c r="BZ210" s="405"/>
      <c r="CA210" s="405"/>
      <c r="CB210" s="405"/>
      <c r="CC210" s="405"/>
      <c r="CD210" s="405"/>
      <c r="CE210" s="405"/>
      <c r="CF210" s="405"/>
      <c r="CG210" s="405"/>
      <c r="CH210" s="405"/>
      <c r="CI210" s="405"/>
      <c r="CJ210" s="405"/>
      <c r="CK210" s="405"/>
      <c r="CL210" s="405"/>
      <c r="CM210" s="405"/>
      <c r="CN210" s="405"/>
      <c r="CO210" s="405"/>
      <c r="CP210" s="405"/>
      <c r="CQ210" s="405"/>
      <c r="CR210" s="405"/>
      <c r="CS210" s="405"/>
      <c r="CT210" s="405"/>
      <c r="CU210" s="405"/>
      <c r="CV210" s="405"/>
      <c r="CW210" s="405"/>
      <c r="CX210" s="405"/>
      <c r="CY210" s="405"/>
      <c r="CZ210" s="405"/>
      <c r="DA210" s="405"/>
      <c r="DB210" s="405"/>
      <c r="DC210" s="405"/>
      <c r="DD210" s="405"/>
      <c r="DE210" s="405"/>
      <c r="DF210" s="405"/>
      <c r="DG210" s="405"/>
      <c r="DH210" s="405"/>
      <c r="DI210" s="405"/>
      <c r="DJ210" s="405"/>
      <c r="DK210" s="405"/>
      <c r="DL210" s="405"/>
      <c r="DM210" s="405"/>
      <c r="DN210" s="405"/>
      <c r="DO210" s="405"/>
      <c r="DP210" s="405"/>
      <c r="DQ210" s="405"/>
      <c r="DR210" s="405"/>
      <c r="DS210" s="405"/>
      <c r="DT210" s="405"/>
      <c r="DU210" s="405"/>
      <c r="DV210" s="405"/>
      <c r="DW210" s="405"/>
      <c r="DX210" s="405"/>
      <c r="DY210" s="405"/>
      <c r="DZ210" s="405"/>
      <c r="EA210" s="405"/>
      <c r="EB210" s="405"/>
      <c r="EC210" s="405"/>
      <c r="ED210" s="405"/>
      <c r="EE210" s="405"/>
      <c r="EF210" s="405"/>
      <c r="EG210" s="405"/>
      <c r="EH210" s="405"/>
      <c r="EI210" s="405"/>
      <c r="EJ210" s="405"/>
      <c r="EK210" s="405"/>
      <c r="EL210" s="405"/>
      <c r="EM210" s="405"/>
      <c r="EN210" s="405"/>
    </row>
    <row r="211" spans="2:144" ht="15" customHeight="1" outlineLevel="1">
      <c r="B211" s="411" t="str">
        <f>B172</f>
        <v>Warehouse volume occupied by a batch</v>
      </c>
      <c r="C211" s="411"/>
      <c r="D211" s="411"/>
      <c r="E211" s="411"/>
      <c r="F211" s="258">
        <v>0</v>
      </c>
      <c r="G211" s="411" t="str">
        <f>G172</f>
        <v>[m³]</v>
      </c>
      <c r="H211" s="411"/>
      <c r="J211" s="403"/>
      <c r="U211" s="405"/>
      <c r="V211" s="405"/>
      <c r="W211" s="405"/>
      <c r="X211" s="405"/>
      <c r="Y211" s="405"/>
      <c r="Z211" s="405"/>
      <c r="AA211" s="405"/>
      <c r="AB211" s="405"/>
      <c r="AC211" s="405"/>
      <c r="AD211" s="405"/>
      <c r="AE211" s="405"/>
      <c r="AF211" s="405"/>
      <c r="AG211" s="405"/>
      <c r="AH211" s="405"/>
      <c r="AI211" s="405"/>
      <c r="AJ211" s="405"/>
      <c r="AK211" s="405"/>
      <c r="AL211" s="405"/>
      <c r="AM211" s="405"/>
      <c r="AN211" s="405"/>
      <c r="AO211" s="405"/>
      <c r="AP211" s="405"/>
      <c r="AQ211" s="405"/>
      <c r="AR211" s="405"/>
      <c r="AS211" s="405"/>
      <c r="AT211" s="405"/>
      <c r="AU211" s="405"/>
      <c r="AV211" s="405"/>
      <c r="AW211" s="405"/>
      <c r="AX211" s="405"/>
      <c r="AY211" s="405"/>
      <c r="AZ211" s="405"/>
      <c r="BA211" s="405"/>
      <c r="BB211" s="405"/>
      <c r="BC211" s="405"/>
      <c r="BD211" s="405"/>
      <c r="BE211" s="405"/>
      <c r="BF211" s="405"/>
      <c r="BG211" s="405"/>
      <c r="BH211" s="405"/>
      <c r="BI211" s="405"/>
      <c r="BJ211" s="405"/>
      <c r="BK211" s="405"/>
      <c r="BL211" s="405"/>
      <c r="BM211" s="405"/>
      <c r="BN211" s="405"/>
      <c r="BO211" s="405"/>
      <c r="BP211" s="405"/>
      <c r="BQ211" s="405"/>
      <c r="BR211" s="405"/>
      <c r="BS211" s="405"/>
      <c r="BT211" s="405"/>
      <c r="BU211" s="405"/>
      <c r="BV211" s="405"/>
      <c r="BW211" s="405"/>
      <c r="BX211" s="405"/>
      <c r="BY211" s="405"/>
      <c r="BZ211" s="405"/>
      <c r="CA211" s="405"/>
      <c r="CB211" s="405"/>
      <c r="CC211" s="405"/>
      <c r="CD211" s="405"/>
      <c r="CE211" s="405"/>
      <c r="CF211" s="405"/>
      <c r="CG211" s="405"/>
      <c r="CH211" s="405"/>
      <c r="CI211" s="405"/>
      <c r="CJ211" s="405"/>
      <c r="CK211" s="405"/>
      <c r="CL211" s="405"/>
      <c r="CM211" s="405"/>
      <c r="CN211" s="405"/>
      <c r="CO211" s="405"/>
      <c r="CP211" s="405"/>
      <c r="CQ211" s="405"/>
      <c r="CR211" s="405"/>
      <c r="CS211" s="405"/>
      <c r="CT211" s="405"/>
      <c r="CU211" s="405"/>
      <c r="CV211" s="405"/>
      <c r="CW211" s="405"/>
      <c r="CX211" s="405"/>
      <c r="CY211" s="405"/>
      <c r="CZ211" s="405"/>
      <c r="DA211" s="405"/>
      <c r="DB211" s="405"/>
      <c r="DC211" s="405"/>
      <c r="DD211" s="405"/>
      <c r="DE211" s="405"/>
      <c r="DF211" s="405"/>
      <c r="DG211" s="405"/>
      <c r="DH211" s="405"/>
      <c r="DI211" s="405"/>
      <c r="DJ211" s="405"/>
      <c r="DK211" s="405"/>
      <c r="DL211" s="405"/>
      <c r="DM211" s="405"/>
      <c r="DN211" s="405"/>
      <c r="DO211" s="405"/>
      <c r="DP211" s="405"/>
      <c r="DQ211" s="405"/>
      <c r="DR211" s="405"/>
      <c r="DS211" s="405"/>
      <c r="DT211" s="405"/>
      <c r="DU211" s="405"/>
      <c r="DV211" s="405"/>
      <c r="DW211" s="405"/>
      <c r="DX211" s="405"/>
      <c r="DY211" s="405"/>
      <c r="DZ211" s="405"/>
      <c r="EA211" s="405"/>
      <c r="EB211" s="405"/>
      <c r="EC211" s="405"/>
      <c r="ED211" s="405"/>
      <c r="EE211" s="405"/>
      <c r="EF211" s="405"/>
      <c r="EG211" s="405"/>
      <c r="EH211" s="405"/>
      <c r="EI211" s="405"/>
      <c r="EJ211" s="405"/>
      <c r="EK211" s="405"/>
      <c r="EL211" s="405"/>
      <c r="EM211" s="405"/>
      <c r="EN211" s="405"/>
    </row>
    <row r="212" spans="2:144" ht="15" customHeight="1" outlineLevel="1">
      <c r="B212" s="411" t="str">
        <f>B173</f>
        <v>Total size of storage</v>
      </c>
      <c r="C212" s="411"/>
      <c r="D212" s="411"/>
      <c r="E212" s="411"/>
      <c r="F212" s="258">
        <v>0</v>
      </c>
      <c r="G212" s="411" t="str">
        <f>G173</f>
        <v>[m³]</v>
      </c>
      <c r="H212" s="411"/>
      <c r="J212" s="403"/>
      <c r="U212" s="405"/>
      <c r="V212" s="405"/>
      <c r="W212" s="405"/>
      <c r="X212" s="405"/>
      <c r="Y212" s="405"/>
      <c r="Z212" s="405"/>
      <c r="AA212" s="405"/>
      <c r="AB212" s="405"/>
      <c r="AC212" s="405"/>
      <c r="AD212" s="405"/>
      <c r="AE212" s="405"/>
      <c r="AF212" s="405"/>
      <c r="AG212" s="405"/>
      <c r="AH212" s="405"/>
      <c r="AI212" s="405"/>
      <c r="AJ212" s="405"/>
      <c r="AK212" s="405"/>
      <c r="AL212" s="405"/>
      <c r="AM212" s="405"/>
      <c r="AN212" s="405"/>
      <c r="AO212" s="405"/>
      <c r="AP212" s="405"/>
      <c r="AQ212" s="405"/>
      <c r="AR212" s="405"/>
      <c r="AS212" s="405"/>
      <c r="AT212" s="405"/>
      <c r="AU212" s="405"/>
      <c r="AV212" s="405"/>
      <c r="AW212" s="405"/>
      <c r="AX212" s="405"/>
      <c r="AY212" s="405"/>
      <c r="AZ212" s="405"/>
      <c r="BA212" s="405"/>
      <c r="BB212" s="405"/>
      <c r="BC212" s="405"/>
      <c r="BD212" s="405"/>
      <c r="BE212" s="405"/>
      <c r="BF212" s="405"/>
      <c r="BG212" s="405"/>
      <c r="BH212" s="405"/>
      <c r="BI212" s="405"/>
      <c r="BJ212" s="405"/>
      <c r="BK212" s="405"/>
      <c r="BL212" s="405"/>
      <c r="BM212" s="405"/>
      <c r="BN212" s="405"/>
      <c r="BO212" s="405"/>
      <c r="BP212" s="405"/>
      <c r="BQ212" s="405"/>
      <c r="BR212" s="405"/>
      <c r="BS212" s="405"/>
      <c r="BT212" s="405"/>
      <c r="BU212" s="405"/>
      <c r="BV212" s="405"/>
      <c r="BW212" s="405"/>
      <c r="BX212" s="405"/>
      <c r="BY212" s="405"/>
      <c r="BZ212" s="405"/>
      <c r="CA212" s="405"/>
      <c r="CB212" s="405"/>
      <c r="CC212" s="405"/>
      <c r="CD212" s="405"/>
      <c r="CE212" s="405"/>
      <c r="CF212" s="405"/>
      <c r="CG212" s="405"/>
      <c r="CH212" s="405"/>
      <c r="CI212" s="405"/>
      <c r="CJ212" s="405"/>
      <c r="CK212" s="405"/>
      <c r="CL212" s="405"/>
      <c r="CM212" s="405"/>
      <c r="CN212" s="405"/>
      <c r="CO212" s="405"/>
      <c r="CP212" s="405"/>
      <c r="CQ212" s="405"/>
      <c r="CR212" s="405"/>
      <c r="CS212" s="405"/>
      <c r="CT212" s="405"/>
      <c r="CU212" s="405"/>
      <c r="CV212" s="405"/>
      <c r="CW212" s="405"/>
      <c r="CX212" s="405"/>
      <c r="CY212" s="405"/>
      <c r="CZ212" s="405"/>
      <c r="DA212" s="405"/>
      <c r="DB212" s="405"/>
      <c r="DC212" s="405"/>
      <c r="DD212" s="405"/>
      <c r="DE212" s="405"/>
      <c r="DF212" s="405"/>
      <c r="DG212" s="405"/>
      <c r="DH212" s="405"/>
      <c r="DI212" s="405"/>
      <c r="DJ212" s="405"/>
      <c r="DK212" s="405"/>
      <c r="DL212" s="405"/>
      <c r="DM212" s="405"/>
      <c r="DN212" s="405"/>
      <c r="DO212" s="405"/>
      <c r="DP212" s="405"/>
      <c r="DQ212" s="405"/>
      <c r="DR212" s="405"/>
      <c r="DS212" s="405"/>
      <c r="DT212" s="405"/>
      <c r="DU212" s="405"/>
      <c r="DV212" s="405"/>
      <c r="DW212" s="405"/>
      <c r="DX212" s="405"/>
      <c r="DY212" s="405"/>
      <c r="DZ212" s="405"/>
      <c r="EA212" s="405"/>
      <c r="EB212" s="405"/>
      <c r="EC212" s="405"/>
      <c r="ED212" s="405"/>
      <c r="EE212" s="405"/>
      <c r="EF212" s="405"/>
      <c r="EG212" s="405"/>
      <c r="EH212" s="405"/>
      <c r="EI212" s="405"/>
      <c r="EJ212" s="405"/>
      <c r="EK212" s="405"/>
      <c r="EL212" s="405"/>
      <c r="EM212" s="405"/>
      <c r="EN212" s="405"/>
    </row>
    <row r="213" spans="2:144" ht="15" customHeight="1" outlineLevel="1">
      <c r="B213" s="420" t="str">
        <f>VLOOKUP("Input_5_Storage_AnnualAmount",Hidden_Translations!$B$11:$J$1184,Hidden_Translations!$C$8,FALSE)</f>
        <v>Average amount of stored products per year</v>
      </c>
      <c r="C213" s="411"/>
      <c r="D213" s="411"/>
      <c r="E213" s="411"/>
      <c r="F213" s="258">
        <v>0</v>
      </c>
      <c r="G213" s="411" t="str">
        <f>G92</f>
        <v>[kg/a]</v>
      </c>
      <c r="H213" s="411"/>
      <c r="J213" s="403"/>
      <c r="U213" s="405"/>
      <c r="V213" s="405"/>
      <c r="W213" s="405"/>
      <c r="X213" s="405"/>
      <c r="Y213" s="405"/>
      <c r="Z213" s="405"/>
      <c r="AA213" s="405"/>
      <c r="AB213" s="405"/>
      <c r="AC213" s="405"/>
      <c r="AD213" s="405"/>
      <c r="AE213" s="405"/>
      <c r="AF213" s="405"/>
      <c r="AG213" s="405"/>
      <c r="AH213" s="405"/>
      <c r="AI213" s="405"/>
      <c r="AJ213" s="405"/>
      <c r="AK213" s="405"/>
      <c r="AL213" s="405"/>
      <c r="AM213" s="405"/>
      <c r="AN213" s="405"/>
      <c r="AO213" s="405"/>
      <c r="AP213" s="405"/>
      <c r="AQ213" s="405"/>
      <c r="AR213" s="405"/>
      <c r="AS213" s="405"/>
      <c r="AT213" s="405"/>
      <c r="AU213" s="405"/>
      <c r="AV213" s="405"/>
      <c r="AW213" s="405"/>
      <c r="AX213" s="405"/>
      <c r="AY213" s="405"/>
      <c r="AZ213" s="405"/>
      <c r="BA213" s="405"/>
      <c r="BB213" s="405"/>
      <c r="BC213" s="405"/>
      <c r="BD213" s="405"/>
      <c r="BE213" s="405"/>
      <c r="BF213" s="405"/>
      <c r="BG213" s="405"/>
      <c r="BH213" s="405"/>
      <c r="BI213" s="405"/>
      <c r="BJ213" s="405"/>
      <c r="BK213" s="405"/>
      <c r="BL213" s="405"/>
      <c r="BM213" s="405"/>
      <c r="BN213" s="405"/>
      <c r="BO213" s="405"/>
      <c r="BP213" s="405"/>
      <c r="BQ213" s="405"/>
      <c r="BR213" s="405"/>
      <c r="BS213" s="405"/>
      <c r="BT213" s="405"/>
      <c r="BU213" s="405"/>
      <c r="BV213" s="405"/>
      <c r="BW213" s="405"/>
      <c r="BX213" s="405"/>
      <c r="BY213" s="405"/>
      <c r="BZ213" s="405"/>
      <c r="CA213" s="405"/>
      <c r="CB213" s="405"/>
      <c r="CC213" s="405"/>
      <c r="CD213" s="405"/>
      <c r="CE213" s="405"/>
      <c r="CF213" s="405"/>
      <c r="CG213" s="405"/>
      <c r="CH213" s="405"/>
      <c r="CI213" s="405"/>
      <c r="CJ213" s="405"/>
      <c r="CK213" s="405"/>
      <c r="CL213" s="405"/>
      <c r="CM213" s="405"/>
      <c r="CN213" s="405"/>
      <c r="CO213" s="405"/>
      <c r="CP213" s="405"/>
      <c r="CQ213" s="405"/>
      <c r="CR213" s="405"/>
      <c r="CS213" s="405"/>
      <c r="CT213" s="405"/>
      <c r="CU213" s="405"/>
      <c r="CV213" s="405"/>
      <c r="CW213" s="405"/>
      <c r="CX213" s="405"/>
      <c r="CY213" s="405"/>
      <c r="CZ213" s="405"/>
      <c r="DA213" s="405"/>
      <c r="DB213" s="405"/>
      <c r="DC213" s="405"/>
      <c r="DD213" s="405"/>
      <c r="DE213" s="405"/>
      <c r="DF213" s="405"/>
      <c r="DG213" s="405"/>
      <c r="DH213" s="405"/>
      <c r="DI213" s="405"/>
      <c r="DJ213" s="405"/>
      <c r="DK213" s="405"/>
      <c r="DL213" s="405"/>
      <c r="DM213" s="405"/>
      <c r="DN213" s="405"/>
      <c r="DO213" s="405"/>
      <c r="DP213" s="405"/>
      <c r="DQ213" s="405"/>
      <c r="DR213" s="405"/>
      <c r="DS213" s="405"/>
      <c r="DT213" s="405"/>
      <c r="DU213" s="405"/>
      <c r="DV213" s="405"/>
      <c r="DW213" s="405"/>
      <c r="DX213" s="405"/>
      <c r="DY213" s="405"/>
      <c r="DZ213" s="405"/>
      <c r="EA213" s="405"/>
      <c r="EB213" s="405"/>
      <c r="EC213" s="405"/>
      <c r="ED213" s="405"/>
      <c r="EE213" s="405"/>
      <c r="EF213" s="405"/>
      <c r="EG213" s="405"/>
      <c r="EH213" s="405"/>
      <c r="EI213" s="405"/>
      <c r="EJ213" s="405"/>
      <c r="EK213" s="405"/>
      <c r="EL213" s="405"/>
      <c r="EM213" s="405"/>
      <c r="EN213" s="405"/>
    </row>
    <row r="214" spans="2:144" ht="15" customHeight="1" outlineLevel="1">
      <c r="B214" s="444"/>
      <c r="F214" s="87"/>
      <c r="H214" s="403"/>
      <c r="J214" s="403"/>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5"/>
      <c r="BO214" s="405"/>
      <c r="BP214" s="405"/>
      <c r="BQ214" s="405"/>
      <c r="BR214" s="405"/>
      <c r="BS214" s="405"/>
      <c r="BT214" s="405"/>
      <c r="BU214" s="405"/>
      <c r="BV214" s="405"/>
      <c r="BW214" s="405"/>
      <c r="BX214" s="405"/>
      <c r="BY214" s="405"/>
      <c r="BZ214" s="405"/>
      <c r="CA214" s="405"/>
      <c r="CB214" s="405"/>
      <c r="CC214" s="405"/>
      <c r="CD214" s="405"/>
      <c r="CE214" s="405"/>
      <c r="CF214" s="405"/>
      <c r="CG214" s="405"/>
      <c r="CH214" s="405"/>
      <c r="CI214" s="405"/>
      <c r="CJ214" s="405"/>
      <c r="CK214" s="405"/>
      <c r="CL214" s="405"/>
      <c r="CM214" s="405"/>
      <c r="CN214" s="405"/>
      <c r="CO214" s="405"/>
      <c r="CP214" s="405"/>
      <c r="CQ214" s="405"/>
      <c r="CR214" s="405"/>
      <c r="CS214" s="405"/>
      <c r="CT214" s="405"/>
      <c r="CU214" s="405"/>
      <c r="CV214" s="405"/>
      <c r="CW214" s="405"/>
      <c r="CX214" s="405"/>
      <c r="CY214" s="405"/>
      <c r="CZ214" s="405"/>
      <c r="DA214" s="405"/>
      <c r="DB214" s="405"/>
      <c r="DC214" s="405"/>
      <c r="DD214" s="405"/>
      <c r="DE214" s="405"/>
      <c r="DF214" s="405"/>
      <c r="DG214" s="405"/>
      <c r="DH214" s="405"/>
      <c r="DI214" s="405"/>
      <c r="DJ214" s="405"/>
      <c r="DK214" s="405"/>
      <c r="DL214" s="405"/>
      <c r="DM214" s="405"/>
      <c r="DN214" s="405"/>
      <c r="DO214" s="405"/>
      <c r="DP214" s="405"/>
      <c r="DQ214" s="405"/>
      <c r="DR214" s="405"/>
      <c r="DS214" s="405"/>
      <c r="DT214" s="405"/>
      <c r="DU214" s="405"/>
      <c r="DV214" s="405"/>
      <c r="DW214" s="405"/>
      <c r="DX214" s="405"/>
      <c r="DY214" s="405"/>
      <c r="DZ214" s="405"/>
      <c r="EA214" s="405"/>
      <c r="EB214" s="405"/>
      <c r="EC214" s="405"/>
      <c r="ED214" s="405"/>
      <c r="EE214" s="405"/>
      <c r="EF214" s="405"/>
      <c r="EG214" s="405"/>
      <c r="EH214" s="405"/>
      <c r="EI214" s="405"/>
      <c r="EJ214" s="405"/>
      <c r="EK214" s="405"/>
      <c r="EL214" s="405"/>
      <c r="EM214" s="405"/>
      <c r="EN214" s="405"/>
    </row>
    <row r="215" spans="2:144" ht="15" customHeight="1" outlineLevel="1">
      <c r="B215" s="411" t="str">
        <f t="shared" ref="B215" si="0">B175</f>
        <v>Electricity from the grid</v>
      </c>
      <c r="C215" s="411"/>
      <c r="D215" s="411"/>
      <c r="E215" s="411" t="str">
        <f>E100</f>
        <v>Consumption per year:</v>
      </c>
      <c r="F215" s="258">
        <v>0</v>
      </c>
      <c r="G215" s="411" t="str">
        <f>G175</f>
        <v>[kWh]</v>
      </c>
      <c r="H215" s="411"/>
      <c r="J215" s="403"/>
      <c r="U215" s="405"/>
      <c r="V215" s="405"/>
      <c r="W215" s="405"/>
      <c r="X215" s="405"/>
      <c r="Y215" s="405"/>
      <c r="Z215" s="405"/>
      <c r="AA215" s="405"/>
      <c r="AB215" s="405"/>
      <c r="AC215" s="405"/>
      <c r="AD215" s="405"/>
      <c r="AE215" s="405"/>
      <c r="AF215" s="405"/>
      <c r="AG215" s="405"/>
      <c r="AH215" s="405"/>
      <c r="AI215" s="405"/>
      <c r="AJ215" s="405"/>
      <c r="AK215" s="405"/>
      <c r="AL215" s="405"/>
      <c r="AM215" s="405"/>
      <c r="AN215" s="405"/>
      <c r="AO215" s="405"/>
      <c r="AP215" s="405"/>
      <c r="AQ215" s="405"/>
      <c r="AR215" s="405"/>
      <c r="AS215" s="405"/>
      <c r="AT215" s="405"/>
      <c r="AU215" s="405"/>
      <c r="AV215" s="405"/>
      <c r="AW215" s="405"/>
      <c r="AX215" s="405"/>
      <c r="AY215" s="405"/>
      <c r="AZ215" s="405"/>
      <c r="BA215" s="405"/>
      <c r="BB215" s="405"/>
      <c r="BC215" s="405"/>
      <c r="BD215" s="405"/>
      <c r="BE215" s="405"/>
      <c r="BF215" s="405"/>
      <c r="BG215" s="405"/>
      <c r="BH215" s="405"/>
      <c r="BI215" s="405"/>
      <c r="BJ215" s="405"/>
      <c r="BK215" s="405"/>
      <c r="BL215" s="405"/>
      <c r="BM215" s="405"/>
      <c r="BN215" s="405"/>
      <c r="BO215" s="405"/>
      <c r="BP215" s="405"/>
      <c r="BQ215" s="405"/>
      <c r="BR215" s="405"/>
      <c r="BS215" s="405"/>
      <c r="BT215" s="405"/>
      <c r="BU215" s="405"/>
      <c r="BV215" s="405"/>
      <c r="BW215" s="405"/>
      <c r="BX215" s="405"/>
      <c r="BY215" s="405"/>
      <c r="BZ215" s="405"/>
      <c r="CA215" s="405"/>
      <c r="CB215" s="405"/>
      <c r="CC215" s="405"/>
      <c r="CD215" s="405"/>
      <c r="CE215" s="405"/>
      <c r="CF215" s="405"/>
      <c r="CG215" s="405"/>
      <c r="CH215" s="405"/>
      <c r="CI215" s="405"/>
      <c r="CJ215" s="405"/>
      <c r="CK215" s="405"/>
      <c r="CL215" s="405"/>
      <c r="CM215" s="405"/>
      <c r="CN215" s="405"/>
      <c r="CO215" s="405"/>
      <c r="CP215" s="405"/>
      <c r="CQ215" s="405"/>
      <c r="CR215" s="405"/>
      <c r="CS215" s="405"/>
      <c r="CT215" s="405"/>
      <c r="CU215" s="405"/>
      <c r="CV215" s="405"/>
      <c r="CW215" s="405"/>
      <c r="CX215" s="405"/>
      <c r="CY215" s="405"/>
      <c r="CZ215" s="405"/>
      <c r="DA215" s="405"/>
      <c r="DB215" s="405"/>
      <c r="DC215" s="405"/>
      <c r="DD215" s="405"/>
      <c r="DE215" s="405"/>
      <c r="DF215" s="405"/>
      <c r="DG215" s="405"/>
      <c r="DH215" s="405"/>
      <c r="DI215" s="405"/>
      <c r="DJ215" s="405"/>
      <c r="DK215" s="405"/>
      <c r="DL215" s="405"/>
      <c r="DM215" s="405"/>
      <c r="DN215" s="405"/>
      <c r="DO215" s="405"/>
      <c r="DP215" s="405"/>
      <c r="DQ215" s="405"/>
      <c r="DR215" s="405"/>
      <c r="DS215" s="405"/>
      <c r="DT215" s="405"/>
      <c r="DU215" s="405"/>
      <c r="DV215" s="405"/>
      <c r="DW215" s="405"/>
      <c r="DX215" s="405"/>
      <c r="DY215" s="405"/>
      <c r="DZ215" s="405"/>
      <c r="EA215" s="405"/>
      <c r="EB215" s="405"/>
      <c r="EC215" s="405"/>
      <c r="ED215" s="405"/>
      <c r="EE215" s="405"/>
      <c r="EF215" s="405"/>
      <c r="EG215" s="405"/>
      <c r="EH215" s="405"/>
      <c r="EI215" s="405"/>
      <c r="EJ215" s="405"/>
      <c r="EK215" s="405"/>
      <c r="EL215" s="405"/>
      <c r="EM215" s="405"/>
      <c r="EN215" s="405"/>
    </row>
    <row r="216" spans="2:144" ht="15" customHeight="1" outlineLevel="1">
      <c r="B216" s="256"/>
      <c r="C216" s="411" t="str">
        <f>G22</f>
        <v>[Selection]</v>
      </c>
      <c r="D216" s="411"/>
      <c r="E216" s="411" t="str">
        <f>E100</f>
        <v>Consumption per year:</v>
      </c>
      <c r="F216" s="258">
        <v>0</v>
      </c>
      <c r="G216" s="411" t="str">
        <f>VLOOKUP(B216,Hidden_Database!$C$11:$I$75,3,FALSE)</f>
        <v>[kg]</v>
      </c>
      <c r="H216" s="411"/>
      <c r="J216" s="403"/>
      <c r="U216" s="405"/>
      <c r="V216" s="405"/>
      <c r="W216" s="405"/>
      <c r="X216" s="405"/>
      <c r="Y216" s="405"/>
      <c r="Z216" s="405"/>
      <c r="AA216" s="405"/>
      <c r="AB216" s="405"/>
      <c r="AC216" s="405"/>
      <c r="AD216" s="405"/>
      <c r="AE216" s="405"/>
      <c r="AF216" s="405"/>
      <c r="AG216" s="405"/>
      <c r="AH216" s="405"/>
      <c r="AI216" s="405"/>
      <c r="AJ216" s="405"/>
      <c r="AK216" s="405"/>
      <c r="AL216" s="405"/>
      <c r="AM216" s="405"/>
      <c r="AN216" s="405"/>
      <c r="AO216" s="405"/>
      <c r="AP216" s="405"/>
      <c r="AQ216" s="405"/>
      <c r="AR216" s="405"/>
      <c r="AS216" s="405"/>
      <c r="AT216" s="405"/>
      <c r="AU216" s="405"/>
      <c r="AV216" s="405"/>
      <c r="AW216" s="405"/>
      <c r="AX216" s="405"/>
      <c r="AY216" s="405"/>
      <c r="AZ216" s="405"/>
      <c r="BA216" s="405"/>
      <c r="BB216" s="405"/>
      <c r="BC216" s="405"/>
      <c r="BD216" s="405"/>
      <c r="BE216" s="405"/>
      <c r="BF216" s="405"/>
      <c r="BG216" s="405"/>
      <c r="BH216" s="405"/>
      <c r="BI216" s="405"/>
      <c r="BJ216" s="405"/>
      <c r="BK216" s="405"/>
      <c r="BL216" s="405"/>
      <c r="BM216" s="405"/>
      <c r="BN216" s="405"/>
      <c r="BO216" s="405"/>
      <c r="BP216" s="405"/>
      <c r="BQ216" s="405"/>
      <c r="BR216" s="405"/>
      <c r="BS216" s="405"/>
      <c r="BT216" s="405"/>
      <c r="BU216" s="405"/>
      <c r="BV216" s="405"/>
      <c r="BW216" s="405"/>
      <c r="BX216" s="405"/>
      <c r="BY216" s="405"/>
      <c r="BZ216" s="405"/>
      <c r="CA216" s="405"/>
      <c r="CB216" s="405"/>
      <c r="CC216" s="405"/>
      <c r="CD216" s="405"/>
      <c r="CE216" s="405"/>
      <c r="CF216" s="405"/>
      <c r="CG216" s="405"/>
      <c r="CH216" s="405"/>
      <c r="CI216" s="405"/>
      <c r="CJ216" s="405"/>
      <c r="CK216" s="405"/>
      <c r="CL216" s="405"/>
      <c r="CM216" s="405"/>
      <c r="CN216" s="405"/>
      <c r="CO216" s="405"/>
      <c r="CP216" s="405"/>
      <c r="CQ216" s="405"/>
      <c r="CR216" s="405"/>
      <c r="CS216" s="405"/>
      <c r="CT216" s="405"/>
      <c r="CU216" s="405"/>
      <c r="CV216" s="405"/>
      <c r="CW216" s="405"/>
      <c r="CX216" s="405"/>
      <c r="CY216" s="405"/>
      <c r="CZ216" s="405"/>
      <c r="DA216" s="405"/>
      <c r="DB216" s="405"/>
      <c r="DC216" s="405"/>
      <c r="DD216" s="405"/>
      <c r="DE216" s="405"/>
      <c r="DF216" s="405"/>
      <c r="DG216" s="405"/>
      <c r="DH216" s="405"/>
      <c r="DI216" s="405"/>
      <c r="DJ216" s="405"/>
      <c r="DK216" s="405"/>
      <c r="DL216" s="405"/>
      <c r="DM216" s="405"/>
      <c r="DN216" s="405"/>
      <c r="DO216" s="405"/>
      <c r="DP216" s="405"/>
      <c r="DQ216" s="405"/>
      <c r="DR216" s="405"/>
      <c r="DS216" s="405"/>
      <c r="DT216" s="405"/>
      <c r="DU216" s="405"/>
      <c r="DV216" s="405"/>
      <c r="DW216" s="405"/>
      <c r="DX216" s="405"/>
      <c r="DY216" s="405"/>
      <c r="DZ216" s="405"/>
      <c r="EA216" s="405"/>
      <c r="EB216" s="405"/>
      <c r="EC216" s="405"/>
      <c r="ED216" s="405"/>
      <c r="EE216" s="405"/>
      <c r="EF216" s="405"/>
      <c r="EG216" s="405"/>
      <c r="EH216" s="405"/>
      <c r="EI216" s="405"/>
      <c r="EJ216" s="405"/>
      <c r="EK216" s="405"/>
      <c r="EL216" s="405"/>
      <c r="EM216" s="405"/>
      <c r="EN216" s="405"/>
    </row>
    <row r="217" spans="2:144" ht="15" customHeight="1" outlineLevel="1">
      <c r="B217" s="256"/>
      <c r="C217" s="411" t="str">
        <f>G22</f>
        <v>[Selection]</v>
      </c>
      <c r="D217" s="411"/>
      <c r="E217" s="411" t="str">
        <f>E100</f>
        <v>Consumption per year:</v>
      </c>
      <c r="F217" s="258">
        <v>0</v>
      </c>
      <c r="G217" s="411" t="str">
        <f>VLOOKUP(B217,Hidden_Database!$C$11:$I$75,3,FALSE)</f>
        <v>[kg]</v>
      </c>
      <c r="H217" s="411"/>
      <c r="J217" s="403"/>
      <c r="U217" s="405"/>
      <c r="V217" s="405"/>
      <c r="W217" s="405"/>
      <c r="X217" s="405"/>
      <c r="Y217" s="405"/>
      <c r="Z217" s="405"/>
      <c r="AA217" s="405"/>
      <c r="AB217" s="405"/>
      <c r="AC217" s="405"/>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5"/>
      <c r="AY217" s="405"/>
      <c r="AZ217" s="405"/>
      <c r="BA217" s="405"/>
      <c r="BB217" s="405"/>
      <c r="BC217" s="405"/>
      <c r="BD217" s="405"/>
      <c r="BE217" s="405"/>
      <c r="BF217" s="405"/>
      <c r="BG217" s="405"/>
      <c r="BH217" s="405"/>
      <c r="BI217" s="405"/>
      <c r="BJ217" s="405"/>
      <c r="BK217" s="405"/>
      <c r="BL217" s="405"/>
      <c r="BM217" s="405"/>
      <c r="BN217" s="405"/>
      <c r="BO217" s="405"/>
      <c r="BP217" s="405"/>
      <c r="BQ217" s="405"/>
      <c r="BR217" s="405"/>
      <c r="BS217" s="405"/>
      <c r="BT217" s="405"/>
      <c r="BU217" s="405"/>
      <c r="BV217" s="405"/>
      <c r="BW217" s="405"/>
      <c r="BX217" s="405"/>
      <c r="BY217" s="405"/>
      <c r="BZ217" s="405"/>
      <c r="CA217" s="405"/>
      <c r="CB217" s="405"/>
      <c r="CC217" s="405"/>
      <c r="CD217" s="405"/>
      <c r="CE217" s="405"/>
      <c r="CF217" s="405"/>
      <c r="CG217" s="405"/>
      <c r="CH217" s="405"/>
      <c r="CI217" s="405"/>
      <c r="CJ217" s="405"/>
      <c r="CK217" s="405"/>
      <c r="CL217" s="405"/>
      <c r="CM217" s="405"/>
      <c r="CN217" s="405"/>
      <c r="CO217" s="405"/>
      <c r="CP217" s="405"/>
      <c r="CQ217" s="405"/>
      <c r="CR217" s="405"/>
      <c r="CS217" s="405"/>
      <c r="CT217" s="405"/>
      <c r="CU217" s="405"/>
      <c r="CV217" s="405"/>
      <c r="CW217" s="405"/>
      <c r="CX217" s="405"/>
      <c r="CY217" s="405"/>
      <c r="CZ217" s="405"/>
      <c r="DA217" s="405"/>
      <c r="DB217" s="405"/>
      <c r="DC217" s="405"/>
      <c r="DD217" s="405"/>
      <c r="DE217" s="405"/>
      <c r="DF217" s="405"/>
      <c r="DG217" s="405"/>
      <c r="DH217" s="405"/>
      <c r="DI217" s="405"/>
      <c r="DJ217" s="405"/>
      <c r="DK217" s="405"/>
      <c r="DL217" s="405"/>
      <c r="DM217" s="405"/>
      <c r="DN217" s="405"/>
      <c r="DO217" s="405"/>
      <c r="DP217" s="405"/>
      <c r="DQ217" s="405"/>
      <c r="DR217" s="405"/>
      <c r="DS217" s="405"/>
      <c r="DT217" s="405"/>
      <c r="DU217" s="405"/>
      <c r="DV217" s="405"/>
      <c r="DW217" s="405"/>
      <c r="DX217" s="405"/>
      <c r="DY217" s="405"/>
      <c r="DZ217" s="405"/>
      <c r="EA217" s="405"/>
      <c r="EB217" s="405"/>
      <c r="EC217" s="405"/>
      <c r="ED217" s="405"/>
      <c r="EE217" s="405"/>
      <c r="EF217" s="405"/>
      <c r="EG217" s="405"/>
      <c r="EH217" s="405"/>
      <c r="EI217" s="405"/>
      <c r="EJ217" s="405"/>
      <c r="EK217" s="405"/>
      <c r="EL217" s="405"/>
      <c r="EM217" s="405"/>
      <c r="EN217" s="405"/>
    </row>
    <row r="218" spans="2:144" ht="15" customHeight="1" outlineLevel="1">
      <c r="B218" s="445"/>
      <c r="C218" s="413"/>
      <c r="D218" s="413"/>
      <c r="E218" s="413"/>
      <c r="F218" s="466"/>
      <c r="G218" s="413"/>
      <c r="H218" s="404"/>
      <c r="J218" s="403"/>
      <c r="U218" s="405"/>
      <c r="V218" s="405"/>
      <c r="W218" s="405"/>
      <c r="X218" s="405"/>
      <c r="Y218" s="405"/>
      <c r="Z218" s="405"/>
      <c r="AA218" s="405"/>
      <c r="AB218" s="405"/>
      <c r="AC218" s="405"/>
      <c r="AD218" s="405"/>
      <c r="AE218" s="405"/>
      <c r="AF218" s="405"/>
      <c r="AG218" s="405"/>
      <c r="AH218" s="405"/>
      <c r="AI218" s="405"/>
      <c r="AJ218" s="405"/>
      <c r="AK218" s="405"/>
      <c r="AL218" s="405"/>
      <c r="AM218" s="405"/>
      <c r="AN218" s="405"/>
      <c r="AO218" s="405"/>
      <c r="AP218" s="405"/>
      <c r="AQ218" s="405"/>
      <c r="AR218" s="405"/>
      <c r="AS218" s="405"/>
      <c r="AT218" s="405"/>
      <c r="AU218" s="405"/>
      <c r="AV218" s="405"/>
      <c r="AW218" s="405"/>
      <c r="AX218" s="405"/>
      <c r="AY218" s="405"/>
      <c r="AZ218" s="405"/>
      <c r="BA218" s="405"/>
      <c r="BB218" s="405"/>
      <c r="BC218" s="405"/>
      <c r="BD218" s="405"/>
      <c r="BE218" s="405"/>
      <c r="BF218" s="405"/>
      <c r="BG218" s="405"/>
      <c r="BH218" s="405"/>
      <c r="BI218" s="405"/>
      <c r="BJ218" s="405"/>
      <c r="BK218" s="405"/>
      <c r="BL218" s="405"/>
      <c r="BM218" s="405"/>
      <c r="BN218" s="405"/>
      <c r="BO218" s="405"/>
      <c r="BP218" s="405"/>
      <c r="BQ218" s="405"/>
      <c r="BR218" s="405"/>
      <c r="BS218" s="405"/>
      <c r="BT218" s="405"/>
      <c r="BU218" s="405"/>
      <c r="BV218" s="405"/>
      <c r="BW218" s="405"/>
      <c r="BX218" s="405"/>
      <c r="BY218" s="405"/>
      <c r="BZ218" s="405"/>
      <c r="CA218" s="405"/>
      <c r="CB218" s="405"/>
      <c r="CC218" s="405"/>
      <c r="CD218" s="405"/>
      <c r="CE218" s="405"/>
      <c r="CF218" s="405"/>
      <c r="CG218" s="405"/>
      <c r="CH218" s="405"/>
      <c r="CI218" s="405"/>
      <c r="CJ218" s="405"/>
      <c r="CK218" s="405"/>
      <c r="CL218" s="405"/>
      <c r="CM218" s="405"/>
      <c r="CN218" s="405"/>
      <c r="CO218" s="405"/>
      <c r="CP218" s="405"/>
      <c r="CQ218" s="405"/>
      <c r="CR218" s="405"/>
      <c r="CS218" s="405"/>
      <c r="CT218" s="405"/>
      <c r="CU218" s="405"/>
      <c r="CV218" s="405"/>
      <c r="CW218" s="405"/>
      <c r="CX218" s="405"/>
      <c r="CY218" s="405"/>
      <c r="CZ218" s="405"/>
      <c r="DA218" s="405"/>
      <c r="DB218" s="405"/>
      <c r="DC218" s="405"/>
      <c r="DD218" s="405"/>
      <c r="DE218" s="405"/>
      <c r="DF218" s="405"/>
      <c r="DG218" s="405"/>
      <c r="DH218" s="405"/>
      <c r="DI218" s="405"/>
      <c r="DJ218" s="405"/>
      <c r="DK218" s="405"/>
      <c r="DL218" s="405"/>
      <c r="DM218" s="405"/>
      <c r="DN218" s="405"/>
      <c r="DO218" s="405"/>
      <c r="DP218" s="405"/>
      <c r="DQ218" s="405"/>
      <c r="DR218" s="405"/>
      <c r="DS218" s="405"/>
      <c r="DT218" s="405"/>
      <c r="DU218" s="405"/>
      <c r="DV218" s="405"/>
      <c r="DW218" s="405"/>
      <c r="DX218" s="405"/>
      <c r="DY218" s="405"/>
      <c r="DZ218" s="405"/>
      <c r="EA218" s="405"/>
      <c r="EB218" s="405"/>
      <c r="EC218" s="405"/>
      <c r="ED218" s="405"/>
      <c r="EE218" s="405"/>
      <c r="EF218" s="405"/>
      <c r="EG218" s="405"/>
      <c r="EH218" s="405"/>
      <c r="EI218" s="405"/>
      <c r="EJ218" s="405"/>
      <c r="EK218" s="405"/>
      <c r="EL218" s="405"/>
      <c r="EM218" s="405"/>
      <c r="EN218" s="405"/>
    </row>
    <row r="219" spans="2:144" ht="15" customHeight="1" outlineLevel="1">
      <c r="B219" s="411" t="str">
        <f t="shared" ref="B219" si="1">B179</f>
        <v>Water consumption per year</v>
      </c>
      <c r="C219" s="411"/>
      <c r="D219" s="411"/>
      <c r="E219" s="411" t="str">
        <f>E100</f>
        <v>Consumption per year:</v>
      </c>
      <c r="F219" s="258">
        <v>0</v>
      </c>
      <c r="G219" s="411" t="str">
        <f>G179</f>
        <v>[m³]</v>
      </c>
      <c r="H219" s="411"/>
      <c r="J219" s="403"/>
      <c r="U219" s="405"/>
      <c r="V219" s="405"/>
      <c r="W219" s="405"/>
      <c r="X219" s="405"/>
      <c r="Y219" s="405"/>
      <c r="Z219" s="405"/>
      <c r="AA219" s="405"/>
      <c r="AB219" s="405"/>
      <c r="AC219" s="405"/>
      <c r="AD219" s="405"/>
      <c r="AE219" s="405"/>
      <c r="AF219" s="405"/>
      <c r="AG219" s="405"/>
      <c r="AH219" s="405"/>
      <c r="AI219" s="405"/>
      <c r="AJ219" s="405"/>
      <c r="AK219" s="405"/>
      <c r="AL219" s="405"/>
      <c r="AM219" s="405"/>
      <c r="AN219" s="405"/>
      <c r="AO219" s="405"/>
      <c r="AP219" s="405"/>
      <c r="AQ219" s="405"/>
      <c r="AR219" s="405"/>
      <c r="AS219" s="405"/>
      <c r="AT219" s="405"/>
      <c r="AU219" s="405"/>
      <c r="AV219" s="405"/>
      <c r="AW219" s="405"/>
      <c r="AX219" s="405"/>
      <c r="AY219" s="405"/>
      <c r="AZ219" s="405"/>
      <c r="BA219" s="405"/>
      <c r="BB219" s="405"/>
      <c r="BC219" s="405"/>
      <c r="BD219" s="405"/>
      <c r="BE219" s="405"/>
      <c r="BF219" s="405"/>
      <c r="BG219" s="405"/>
      <c r="BH219" s="405"/>
      <c r="BI219" s="405"/>
      <c r="BJ219" s="405"/>
      <c r="BK219" s="405"/>
      <c r="BL219" s="405"/>
      <c r="BM219" s="405"/>
      <c r="BN219" s="405"/>
      <c r="BO219" s="405"/>
      <c r="BP219" s="405"/>
      <c r="BQ219" s="405"/>
      <c r="BR219" s="405"/>
      <c r="BS219" s="405"/>
      <c r="BT219" s="405"/>
      <c r="BU219" s="405"/>
      <c r="BV219" s="405"/>
      <c r="BW219" s="405"/>
      <c r="BX219" s="405"/>
      <c r="BY219" s="405"/>
      <c r="BZ219" s="405"/>
      <c r="CA219" s="405"/>
      <c r="CB219" s="405"/>
      <c r="CC219" s="405"/>
      <c r="CD219" s="405"/>
      <c r="CE219" s="405"/>
      <c r="CF219" s="405"/>
      <c r="CG219" s="405"/>
      <c r="CH219" s="405"/>
      <c r="CI219" s="405"/>
      <c r="CJ219" s="405"/>
      <c r="CK219" s="405"/>
      <c r="CL219" s="405"/>
      <c r="CM219" s="405"/>
      <c r="CN219" s="405"/>
      <c r="CO219" s="405"/>
      <c r="CP219" s="405"/>
      <c r="CQ219" s="405"/>
      <c r="CR219" s="405"/>
      <c r="CS219" s="405"/>
      <c r="CT219" s="405"/>
      <c r="CU219" s="405"/>
      <c r="CV219" s="405"/>
      <c r="CW219" s="405"/>
      <c r="CX219" s="405"/>
      <c r="CY219" s="405"/>
      <c r="CZ219" s="405"/>
      <c r="DA219" s="405"/>
      <c r="DB219" s="405"/>
      <c r="DC219" s="405"/>
      <c r="DD219" s="405"/>
      <c r="DE219" s="405"/>
      <c r="DF219" s="405"/>
      <c r="DG219" s="405"/>
      <c r="DH219" s="405"/>
      <c r="DI219" s="405"/>
      <c r="DJ219" s="405"/>
      <c r="DK219" s="405"/>
      <c r="DL219" s="405"/>
      <c r="DM219" s="405"/>
      <c r="DN219" s="405"/>
      <c r="DO219" s="405"/>
      <c r="DP219" s="405"/>
      <c r="DQ219" s="405"/>
      <c r="DR219" s="405"/>
      <c r="DS219" s="405"/>
      <c r="DT219" s="405"/>
      <c r="DU219" s="405"/>
      <c r="DV219" s="405"/>
      <c r="DW219" s="405"/>
      <c r="DX219" s="405"/>
      <c r="DY219" s="405"/>
      <c r="DZ219" s="405"/>
      <c r="EA219" s="405"/>
      <c r="EB219" s="405"/>
      <c r="EC219" s="405"/>
      <c r="ED219" s="405"/>
      <c r="EE219" s="405"/>
      <c r="EF219" s="405"/>
      <c r="EG219" s="405"/>
      <c r="EH219" s="405"/>
      <c r="EI219" s="405"/>
      <c r="EJ219" s="405"/>
      <c r="EK219" s="405"/>
      <c r="EL219" s="405"/>
      <c r="EM219" s="405"/>
      <c r="EN219" s="405"/>
    </row>
    <row r="220" spans="2:144" ht="15" customHeight="1" outlineLevel="1">
      <c r="B220" s="466"/>
      <c r="C220" s="413"/>
      <c r="D220" s="413"/>
      <c r="E220" s="413"/>
      <c r="F220" s="466"/>
      <c r="G220" s="413"/>
      <c r="H220" s="404"/>
      <c r="J220" s="403"/>
      <c r="U220" s="405"/>
      <c r="V220" s="405"/>
      <c r="W220" s="405"/>
      <c r="X220" s="405"/>
      <c r="Y220" s="405"/>
      <c r="Z220" s="405"/>
      <c r="AA220" s="405"/>
      <c r="AB220" s="405"/>
      <c r="AC220" s="405"/>
      <c r="AD220" s="405"/>
      <c r="AE220" s="405"/>
      <c r="AF220" s="405"/>
      <c r="AG220" s="405"/>
      <c r="AH220" s="405"/>
      <c r="AI220" s="405"/>
      <c r="AJ220" s="405"/>
      <c r="AK220" s="405"/>
      <c r="AL220" s="405"/>
      <c r="AM220" s="405"/>
      <c r="AN220" s="405"/>
      <c r="AO220" s="405"/>
      <c r="AP220" s="405"/>
      <c r="AQ220" s="405"/>
      <c r="AR220" s="405"/>
      <c r="AS220" s="405"/>
      <c r="AT220" s="405"/>
      <c r="AU220" s="405"/>
      <c r="AV220" s="405"/>
      <c r="AW220" s="405"/>
      <c r="AX220" s="405"/>
      <c r="AY220" s="405"/>
      <c r="AZ220" s="405"/>
      <c r="BA220" s="405"/>
      <c r="BB220" s="405"/>
      <c r="BC220" s="405"/>
      <c r="BD220" s="405"/>
      <c r="BE220" s="405"/>
      <c r="BF220" s="405"/>
      <c r="BG220" s="405"/>
      <c r="BH220" s="405"/>
      <c r="BI220" s="405"/>
      <c r="BJ220" s="405"/>
      <c r="BK220" s="405"/>
      <c r="BL220" s="405"/>
      <c r="BM220" s="405"/>
      <c r="BN220" s="405"/>
      <c r="BO220" s="405"/>
      <c r="BP220" s="405"/>
      <c r="BQ220" s="405"/>
      <c r="BR220" s="405"/>
      <c r="BS220" s="405"/>
      <c r="BT220" s="405"/>
      <c r="BU220" s="405"/>
      <c r="BV220" s="405"/>
      <c r="BW220" s="405"/>
      <c r="BX220" s="405"/>
      <c r="BY220" s="405"/>
      <c r="BZ220" s="405"/>
      <c r="CA220" s="405"/>
      <c r="CB220" s="405"/>
      <c r="CC220" s="405"/>
      <c r="CD220" s="405"/>
      <c r="CE220" s="405"/>
      <c r="CF220" s="405"/>
      <c r="CG220" s="405"/>
      <c r="CH220" s="405"/>
      <c r="CI220" s="405"/>
      <c r="CJ220" s="405"/>
      <c r="CK220" s="405"/>
      <c r="CL220" s="405"/>
      <c r="CM220" s="405"/>
      <c r="CN220" s="405"/>
      <c r="CO220" s="405"/>
      <c r="CP220" s="405"/>
      <c r="CQ220" s="405"/>
      <c r="CR220" s="405"/>
      <c r="CS220" s="405"/>
      <c r="CT220" s="405"/>
      <c r="CU220" s="405"/>
      <c r="CV220" s="405"/>
      <c r="CW220" s="405"/>
      <c r="CX220" s="405"/>
      <c r="CY220" s="405"/>
      <c r="CZ220" s="405"/>
      <c r="DA220" s="405"/>
      <c r="DB220" s="405"/>
      <c r="DC220" s="405"/>
      <c r="DD220" s="405"/>
      <c r="DE220" s="405"/>
      <c r="DF220" s="405"/>
      <c r="DG220" s="405"/>
      <c r="DH220" s="405"/>
      <c r="DI220" s="405"/>
      <c r="DJ220" s="405"/>
      <c r="DK220" s="405"/>
      <c r="DL220" s="405"/>
      <c r="DM220" s="405"/>
      <c r="DN220" s="405"/>
      <c r="DO220" s="405"/>
      <c r="DP220" s="405"/>
      <c r="DQ220" s="405"/>
      <c r="DR220" s="405"/>
      <c r="DS220" s="405"/>
      <c r="DT220" s="405"/>
      <c r="DU220" s="405"/>
      <c r="DV220" s="405"/>
      <c r="DW220" s="405"/>
      <c r="DX220" s="405"/>
      <c r="DY220" s="405"/>
      <c r="DZ220" s="405"/>
      <c r="EA220" s="405"/>
      <c r="EB220" s="405"/>
      <c r="EC220" s="405"/>
      <c r="ED220" s="405"/>
      <c r="EE220" s="405"/>
      <c r="EF220" s="405"/>
      <c r="EG220" s="405"/>
      <c r="EH220" s="405"/>
      <c r="EI220" s="405"/>
      <c r="EJ220" s="405"/>
      <c r="EK220" s="405"/>
      <c r="EL220" s="405"/>
      <c r="EM220" s="405"/>
      <c r="EN220" s="405"/>
    </row>
    <row r="221" spans="2:144" ht="15" customHeight="1" outlineLevel="1">
      <c r="B221" s="411" t="str">
        <f t="shared" ref="B221" si="2">B181</f>
        <v>Type of refrigerant</v>
      </c>
      <c r="C221" s="411"/>
      <c r="D221" s="411"/>
      <c r="E221" s="411"/>
      <c r="F221" s="257" t="s">
        <v>249</v>
      </c>
      <c r="G221" s="411" t="str">
        <f>G181</f>
        <v>[Selection]</v>
      </c>
      <c r="H221" s="411"/>
      <c r="J221" s="403"/>
      <c r="U221" s="405"/>
      <c r="V221" s="405"/>
      <c r="W221" s="405"/>
      <c r="X221" s="405"/>
      <c r="Y221" s="405"/>
      <c r="Z221" s="405"/>
      <c r="AA221" s="405"/>
      <c r="AB221" s="405"/>
      <c r="AC221" s="405"/>
      <c r="AD221" s="405"/>
      <c r="AE221" s="405"/>
      <c r="AF221" s="405"/>
      <c r="AG221" s="405"/>
      <c r="AH221" s="405"/>
      <c r="AI221" s="405"/>
      <c r="AJ221" s="405"/>
      <c r="AK221" s="405"/>
      <c r="AL221" s="405"/>
      <c r="AM221" s="405"/>
      <c r="AN221" s="405"/>
      <c r="AO221" s="405"/>
      <c r="AP221" s="405"/>
      <c r="AQ221" s="405"/>
      <c r="AR221" s="405"/>
      <c r="AS221" s="405"/>
      <c r="AT221" s="405"/>
      <c r="AU221" s="405"/>
      <c r="AV221" s="405"/>
      <c r="AW221" s="405"/>
      <c r="AX221" s="405"/>
      <c r="AY221" s="405"/>
      <c r="AZ221" s="405"/>
      <c r="BA221" s="405"/>
      <c r="BB221" s="405"/>
      <c r="BC221" s="405"/>
      <c r="BD221" s="405"/>
      <c r="BE221" s="405"/>
      <c r="BF221" s="405"/>
      <c r="BG221" s="405"/>
      <c r="BH221" s="405"/>
      <c r="BI221" s="405"/>
      <c r="BJ221" s="405"/>
      <c r="BK221" s="405"/>
      <c r="BL221" s="405"/>
      <c r="BM221" s="405"/>
      <c r="BN221" s="405"/>
      <c r="BO221" s="405"/>
      <c r="BP221" s="405"/>
      <c r="BQ221" s="405"/>
      <c r="BR221" s="405"/>
      <c r="BS221" s="405"/>
      <c r="BT221" s="405"/>
      <c r="BU221" s="405"/>
      <c r="BV221" s="405"/>
      <c r="BW221" s="405"/>
      <c r="BX221" s="405"/>
      <c r="BY221" s="405"/>
      <c r="BZ221" s="405"/>
      <c r="CA221" s="405"/>
      <c r="CB221" s="405"/>
      <c r="CC221" s="405"/>
      <c r="CD221" s="405"/>
      <c r="CE221" s="405"/>
      <c r="CF221" s="405"/>
      <c r="CG221" s="405"/>
      <c r="CH221" s="405"/>
      <c r="CI221" s="405"/>
      <c r="CJ221" s="405"/>
      <c r="CK221" s="405"/>
      <c r="CL221" s="405"/>
      <c r="CM221" s="405"/>
      <c r="CN221" s="405"/>
      <c r="CO221" s="405"/>
      <c r="CP221" s="405"/>
      <c r="CQ221" s="405"/>
      <c r="CR221" s="405"/>
      <c r="CS221" s="405"/>
      <c r="CT221" s="405"/>
      <c r="CU221" s="405"/>
      <c r="CV221" s="405"/>
      <c r="CW221" s="405"/>
      <c r="CX221" s="405"/>
      <c r="CY221" s="405"/>
      <c r="CZ221" s="405"/>
      <c r="DA221" s="405"/>
      <c r="DB221" s="405"/>
      <c r="DC221" s="405"/>
      <c r="DD221" s="405"/>
      <c r="DE221" s="405"/>
      <c r="DF221" s="405"/>
      <c r="DG221" s="405"/>
      <c r="DH221" s="405"/>
      <c r="DI221" s="405"/>
      <c r="DJ221" s="405"/>
      <c r="DK221" s="405"/>
      <c r="DL221" s="405"/>
      <c r="DM221" s="405"/>
      <c r="DN221" s="405"/>
      <c r="DO221" s="405"/>
      <c r="DP221" s="405"/>
      <c r="DQ221" s="405"/>
      <c r="DR221" s="405"/>
      <c r="DS221" s="405"/>
      <c r="DT221" s="405"/>
      <c r="DU221" s="405"/>
      <c r="DV221" s="405"/>
      <c r="DW221" s="405"/>
      <c r="DX221" s="405"/>
      <c r="DY221" s="405"/>
      <c r="DZ221" s="405"/>
      <c r="EA221" s="405"/>
      <c r="EB221" s="405"/>
      <c r="EC221" s="405"/>
      <c r="ED221" s="405"/>
      <c r="EE221" s="405"/>
      <c r="EF221" s="405"/>
      <c r="EG221" s="405"/>
      <c r="EH221" s="405"/>
      <c r="EI221" s="405"/>
      <c r="EJ221" s="405"/>
      <c r="EK221" s="405"/>
      <c r="EL221" s="405"/>
      <c r="EM221" s="405"/>
      <c r="EN221" s="405"/>
    </row>
    <row r="222" spans="2:144" ht="15" customHeight="1" outlineLevel="1">
      <c r="B222" s="411" t="str">
        <f t="shared" ref="B222" si="3">B182</f>
        <v>Initial annual precharge</v>
      </c>
      <c r="C222" s="411"/>
      <c r="D222" s="411"/>
      <c r="E222" s="411"/>
      <c r="F222" s="258">
        <v>0</v>
      </c>
      <c r="G222" s="411" t="str">
        <f>G182</f>
        <v>[kg]</v>
      </c>
      <c r="H222" s="411"/>
      <c r="J222" s="403"/>
      <c r="U222" s="405"/>
      <c r="V222" s="405"/>
      <c r="W222" s="405"/>
      <c r="X222" s="405"/>
      <c r="Y222" s="405"/>
      <c r="Z222" s="405"/>
      <c r="AA222" s="405"/>
      <c r="AB222" s="405"/>
      <c r="AC222" s="405"/>
      <c r="AD222" s="405"/>
      <c r="AE222" s="405"/>
      <c r="AF222" s="405"/>
      <c r="AG222" s="405"/>
      <c r="AH222" s="405"/>
      <c r="AI222" s="405"/>
      <c r="AJ222" s="405"/>
      <c r="AK222" s="405"/>
      <c r="AL222" s="405"/>
      <c r="AM222" s="405"/>
      <c r="AN222" s="405"/>
      <c r="AO222" s="405"/>
      <c r="AP222" s="405"/>
      <c r="AQ222" s="405"/>
      <c r="AR222" s="405"/>
      <c r="AS222" s="405"/>
      <c r="AT222" s="405"/>
      <c r="AU222" s="405"/>
      <c r="AV222" s="405"/>
      <c r="AW222" s="405"/>
      <c r="AX222" s="405"/>
      <c r="AY222" s="405"/>
      <c r="AZ222" s="405"/>
      <c r="BA222" s="405"/>
      <c r="BB222" s="405"/>
      <c r="BC222" s="405"/>
      <c r="BD222" s="405"/>
      <c r="BE222" s="405"/>
      <c r="BF222" s="405"/>
      <c r="BG222" s="405"/>
      <c r="BH222" s="405"/>
      <c r="BI222" s="405"/>
      <c r="BJ222" s="405"/>
      <c r="BK222" s="405"/>
      <c r="BL222" s="405"/>
      <c r="BM222" s="405"/>
      <c r="BN222" s="405"/>
      <c r="BO222" s="405"/>
      <c r="BP222" s="405"/>
      <c r="BQ222" s="405"/>
      <c r="BR222" s="405"/>
      <c r="BS222" s="405"/>
      <c r="BT222" s="405"/>
      <c r="BU222" s="405"/>
      <c r="BV222" s="405"/>
      <c r="BW222" s="405"/>
      <c r="BX222" s="405"/>
      <c r="BY222" s="405"/>
      <c r="BZ222" s="405"/>
      <c r="CA222" s="405"/>
      <c r="CB222" s="405"/>
      <c r="CC222" s="405"/>
      <c r="CD222" s="405"/>
      <c r="CE222" s="405"/>
      <c r="CF222" s="405"/>
      <c r="CG222" s="405"/>
      <c r="CH222" s="405"/>
      <c r="CI222" s="405"/>
      <c r="CJ222" s="405"/>
      <c r="CK222" s="405"/>
      <c r="CL222" s="405"/>
      <c r="CM222" s="405"/>
      <c r="CN222" s="405"/>
      <c r="CO222" s="405"/>
      <c r="CP222" s="405"/>
      <c r="CQ222" s="405"/>
      <c r="CR222" s="405"/>
      <c r="CS222" s="405"/>
      <c r="CT222" s="405"/>
      <c r="CU222" s="405"/>
      <c r="CV222" s="405"/>
      <c r="CW222" s="405"/>
      <c r="CX222" s="405"/>
      <c r="CY222" s="405"/>
      <c r="CZ222" s="405"/>
      <c r="DA222" s="405"/>
      <c r="DB222" s="405"/>
      <c r="DC222" s="405"/>
      <c r="DD222" s="405"/>
      <c r="DE222" s="405"/>
      <c r="DF222" s="405"/>
      <c r="DG222" s="405"/>
      <c r="DH222" s="405"/>
      <c r="DI222" s="405"/>
      <c r="DJ222" s="405"/>
      <c r="DK222" s="405"/>
      <c r="DL222" s="405"/>
      <c r="DM222" s="405"/>
      <c r="DN222" s="405"/>
      <c r="DO222" s="405"/>
      <c r="DP222" s="405"/>
      <c r="DQ222" s="405"/>
      <c r="DR222" s="405"/>
      <c r="DS222" s="405"/>
      <c r="DT222" s="405"/>
      <c r="DU222" s="405"/>
      <c r="DV222" s="405"/>
      <c r="DW222" s="405"/>
      <c r="DX222" s="405"/>
      <c r="DY222" s="405"/>
      <c r="DZ222" s="405"/>
      <c r="EA222" s="405"/>
      <c r="EB222" s="405"/>
      <c r="EC222" s="405"/>
      <c r="ED222" s="405"/>
      <c r="EE222" s="405"/>
      <c r="EF222" s="405"/>
      <c r="EG222" s="405"/>
      <c r="EH222" s="405"/>
      <c r="EI222" s="405"/>
      <c r="EJ222" s="405"/>
      <c r="EK222" s="405"/>
      <c r="EL222" s="405"/>
      <c r="EM222" s="405"/>
      <c r="EN222" s="405"/>
    </row>
    <row r="223" spans="2:144" ht="15" customHeight="1" outlineLevel="1">
      <c r="B223" s="403"/>
      <c r="C223" s="403"/>
      <c r="D223" s="403"/>
      <c r="E223" s="403"/>
      <c r="F223" s="403"/>
      <c r="G223" s="403"/>
      <c r="H223" s="403"/>
      <c r="J223" s="403"/>
      <c r="U223" s="405"/>
      <c r="V223" s="405"/>
      <c r="W223" s="405"/>
      <c r="X223" s="405"/>
      <c r="Y223" s="405"/>
      <c r="Z223" s="405"/>
      <c r="AA223" s="405"/>
      <c r="AB223" s="405"/>
      <c r="AC223" s="405"/>
      <c r="AD223" s="405"/>
      <c r="AE223" s="405"/>
      <c r="AF223" s="405"/>
      <c r="AG223" s="405"/>
      <c r="AH223" s="405"/>
      <c r="AI223" s="405"/>
      <c r="AJ223" s="405"/>
      <c r="AK223" s="405"/>
      <c r="AL223" s="405"/>
      <c r="AM223" s="405"/>
      <c r="AN223" s="405"/>
      <c r="AO223" s="405"/>
      <c r="AP223" s="405"/>
      <c r="AQ223" s="405"/>
      <c r="AR223" s="405"/>
      <c r="AS223" s="405"/>
      <c r="AT223" s="405"/>
      <c r="AU223" s="405"/>
      <c r="AV223" s="405"/>
      <c r="AW223" s="405"/>
      <c r="AX223" s="405"/>
      <c r="AY223" s="405"/>
      <c r="AZ223" s="405"/>
      <c r="BA223" s="405"/>
      <c r="BB223" s="405"/>
      <c r="BC223" s="405"/>
      <c r="BD223" s="405"/>
      <c r="BE223" s="405"/>
      <c r="BF223" s="405"/>
      <c r="BG223" s="405"/>
      <c r="BH223" s="405"/>
      <c r="BI223" s="405"/>
      <c r="BJ223" s="405"/>
      <c r="BK223" s="405"/>
      <c r="BL223" s="405"/>
      <c r="BM223" s="405"/>
      <c r="BN223" s="405"/>
      <c r="BO223" s="405"/>
      <c r="BP223" s="405"/>
      <c r="BQ223" s="405"/>
      <c r="BR223" s="405"/>
      <c r="BS223" s="405"/>
      <c r="BT223" s="405"/>
      <c r="BU223" s="405"/>
      <c r="BV223" s="405"/>
      <c r="BW223" s="405"/>
      <c r="BX223" s="405"/>
      <c r="BY223" s="405"/>
      <c r="BZ223" s="405"/>
      <c r="CA223" s="405"/>
      <c r="CB223" s="405"/>
      <c r="CC223" s="405"/>
      <c r="CD223" s="405"/>
      <c r="CE223" s="405"/>
      <c r="CF223" s="405"/>
      <c r="CG223" s="405"/>
      <c r="CH223" s="405"/>
      <c r="CI223" s="405"/>
      <c r="CJ223" s="405"/>
      <c r="CK223" s="405"/>
      <c r="CL223" s="405"/>
      <c r="CM223" s="405"/>
      <c r="CN223" s="405"/>
      <c r="CO223" s="405"/>
      <c r="CP223" s="405"/>
      <c r="CQ223" s="405"/>
      <c r="CR223" s="405"/>
      <c r="CS223" s="405"/>
      <c r="CT223" s="405"/>
      <c r="CU223" s="405"/>
      <c r="CV223" s="405"/>
      <c r="CW223" s="405"/>
      <c r="CX223" s="405"/>
      <c r="CY223" s="405"/>
      <c r="CZ223" s="405"/>
      <c r="DA223" s="405"/>
      <c r="DB223" s="405"/>
      <c r="DC223" s="405"/>
      <c r="DD223" s="405"/>
      <c r="DE223" s="405"/>
      <c r="DF223" s="405"/>
      <c r="DG223" s="405"/>
      <c r="DH223" s="405"/>
      <c r="DI223" s="405"/>
      <c r="DJ223" s="405"/>
      <c r="DK223" s="405"/>
      <c r="DL223" s="405"/>
      <c r="DM223" s="405"/>
      <c r="DN223" s="405"/>
      <c r="DO223" s="405"/>
      <c r="DP223" s="405"/>
      <c r="DQ223" s="405"/>
      <c r="DR223" s="405"/>
      <c r="DS223" s="405"/>
      <c r="DT223" s="405"/>
      <c r="DU223" s="405"/>
      <c r="DV223" s="405"/>
      <c r="DW223" s="405"/>
      <c r="DX223" s="405"/>
      <c r="DY223" s="405"/>
      <c r="DZ223" s="405"/>
      <c r="EA223" s="405"/>
      <c r="EB223" s="405"/>
      <c r="EC223" s="405"/>
      <c r="ED223" s="405"/>
      <c r="EE223" s="405"/>
      <c r="EF223" s="405"/>
      <c r="EG223" s="405"/>
      <c r="EH223" s="405"/>
      <c r="EI223" s="405"/>
      <c r="EJ223" s="405"/>
      <c r="EK223" s="405"/>
      <c r="EL223" s="405"/>
      <c r="EM223" s="405"/>
      <c r="EN223" s="405"/>
    </row>
    <row r="224" spans="2:144" ht="15" customHeight="1" outlineLevel="1">
      <c r="B224" s="476" t="str">
        <f>B109</f>
        <v>Waste</v>
      </c>
      <c r="C224" s="459"/>
      <c r="D224" s="459"/>
      <c r="E224" s="459"/>
      <c r="F224" s="459"/>
      <c r="G224" s="459"/>
      <c r="H224" s="459"/>
      <c r="J224" s="403"/>
      <c r="U224" s="405"/>
      <c r="V224" s="405"/>
      <c r="W224" s="405"/>
      <c r="X224" s="405"/>
      <c r="Y224" s="405"/>
      <c r="Z224" s="405"/>
      <c r="AA224" s="405"/>
      <c r="AB224" s="405"/>
      <c r="AC224" s="405"/>
      <c r="AD224" s="405"/>
      <c r="AE224" s="405"/>
      <c r="AF224" s="405"/>
      <c r="AG224" s="405"/>
      <c r="AH224" s="405"/>
      <c r="AI224" s="405"/>
      <c r="AJ224" s="405"/>
      <c r="AK224" s="405"/>
      <c r="AL224" s="405"/>
      <c r="AM224" s="405"/>
      <c r="AN224" s="405"/>
      <c r="AO224" s="405"/>
      <c r="AP224" s="405"/>
      <c r="AQ224" s="405"/>
      <c r="AR224" s="405"/>
      <c r="AS224" s="405"/>
      <c r="AT224" s="405"/>
      <c r="AU224" s="405"/>
      <c r="AV224" s="405"/>
      <c r="AW224" s="405"/>
      <c r="AX224" s="405"/>
      <c r="AY224" s="405"/>
      <c r="AZ224" s="405"/>
      <c r="BA224" s="405"/>
      <c r="BB224" s="405"/>
      <c r="BC224" s="405"/>
      <c r="BD224" s="405"/>
      <c r="BE224" s="405"/>
      <c r="BF224" s="405"/>
      <c r="BG224" s="405"/>
      <c r="BH224" s="405"/>
      <c r="BI224" s="405"/>
      <c r="BJ224" s="405"/>
      <c r="BK224" s="405"/>
      <c r="BL224" s="405"/>
      <c r="BM224" s="405"/>
      <c r="BN224" s="405"/>
      <c r="BO224" s="405"/>
      <c r="BP224" s="405"/>
      <c r="BQ224" s="405"/>
      <c r="BR224" s="405"/>
      <c r="BS224" s="405"/>
      <c r="BT224" s="405"/>
      <c r="BU224" s="405"/>
      <c r="BV224" s="405"/>
      <c r="BW224" s="405"/>
      <c r="BX224" s="405"/>
      <c r="BY224" s="405"/>
      <c r="BZ224" s="405"/>
      <c r="CA224" s="405"/>
      <c r="CB224" s="405"/>
      <c r="CC224" s="405"/>
      <c r="CD224" s="405"/>
      <c r="CE224" s="405"/>
      <c r="CF224" s="405"/>
      <c r="CG224" s="405"/>
      <c r="CH224" s="405"/>
      <c r="CI224" s="405"/>
      <c r="CJ224" s="405"/>
      <c r="CK224" s="405"/>
      <c r="CL224" s="405"/>
      <c r="CM224" s="405"/>
      <c r="CN224" s="405"/>
      <c r="CO224" s="405"/>
      <c r="CP224" s="405"/>
      <c r="CQ224" s="405"/>
      <c r="CR224" s="405"/>
      <c r="CS224" s="405"/>
      <c r="CT224" s="405"/>
      <c r="CU224" s="405"/>
      <c r="CV224" s="405"/>
      <c r="CW224" s="405"/>
      <c r="CX224" s="405"/>
      <c r="CY224" s="405"/>
      <c r="CZ224" s="405"/>
      <c r="DA224" s="405"/>
      <c r="DB224" s="405"/>
      <c r="DC224" s="405"/>
      <c r="DD224" s="405"/>
      <c r="DE224" s="405"/>
      <c r="DF224" s="405"/>
      <c r="DG224" s="405"/>
      <c r="DH224" s="405"/>
      <c r="DI224" s="405"/>
      <c r="DJ224" s="405"/>
      <c r="DK224" s="405"/>
      <c r="DL224" s="405"/>
      <c r="DM224" s="405"/>
      <c r="DN224" s="405"/>
      <c r="DO224" s="405"/>
      <c r="DP224" s="405"/>
      <c r="DQ224" s="405"/>
      <c r="DR224" s="405"/>
      <c r="DS224" s="405"/>
      <c r="DT224" s="405"/>
      <c r="DU224" s="405"/>
      <c r="DV224" s="405"/>
      <c r="DW224" s="405"/>
      <c r="DX224" s="405"/>
      <c r="DY224" s="405"/>
      <c r="DZ224" s="405"/>
      <c r="EA224" s="405"/>
      <c r="EB224" s="405"/>
      <c r="EC224" s="405"/>
      <c r="ED224" s="405"/>
      <c r="EE224" s="405"/>
      <c r="EF224" s="405"/>
      <c r="EG224" s="405"/>
      <c r="EH224" s="405"/>
      <c r="EI224" s="405"/>
      <c r="EJ224" s="405"/>
      <c r="EK224" s="405"/>
      <c r="EL224" s="405"/>
      <c r="EM224" s="405"/>
      <c r="EN224" s="405"/>
    </row>
    <row r="225" spans="2:144" ht="15" customHeight="1" outlineLevel="1">
      <c r="B225" s="489"/>
      <c r="C225" s="489"/>
      <c r="D225" s="489"/>
      <c r="E225" s="489"/>
      <c r="F225" s="489"/>
      <c r="G225" s="489"/>
      <c r="H225" s="489"/>
      <c r="J225" s="403"/>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5"/>
      <c r="BO225" s="405"/>
      <c r="BP225" s="405"/>
      <c r="BQ225" s="405"/>
      <c r="BR225" s="405"/>
      <c r="BS225" s="405"/>
      <c r="BT225" s="405"/>
      <c r="BU225" s="405"/>
      <c r="BV225" s="405"/>
      <c r="BW225" s="405"/>
      <c r="BX225" s="405"/>
      <c r="BY225" s="405"/>
      <c r="BZ225" s="405"/>
      <c r="CA225" s="405"/>
      <c r="CB225" s="405"/>
      <c r="CC225" s="405"/>
      <c r="CD225" s="405"/>
      <c r="CE225" s="405"/>
      <c r="CF225" s="405"/>
      <c r="CG225" s="405"/>
      <c r="CH225" s="405"/>
      <c r="CI225" s="405"/>
      <c r="CJ225" s="405"/>
      <c r="CK225" s="405"/>
      <c r="CL225" s="405"/>
      <c r="CM225" s="405"/>
      <c r="CN225" s="405"/>
      <c r="CO225" s="405"/>
      <c r="CP225" s="405"/>
      <c r="CQ225" s="405"/>
      <c r="CR225" s="405"/>
      <c r="CS225" s="405"/>
      <c r="CT225" s="405"/>
      <c r="CU225" s="405"/>
      <c r="CV225" s="405"/>
      <c r="CW225" s="405"/>
      <c r="CX225" s="405"/>
      <c r="CY225" s="405"/>
      <c r="CZ225" s="405"/>
      <c r="DA225" s="405"/>
      <c r="DB225" s="405"/>
      <c r="DC225" s="405"/>
      <c r="DD225" s="405"/>
      <c r="DE225" s="405"/>
      <c r="DF225" s="405"/>
      <c r="DG225" s="405"/>
      <c r="DH225" s="405"/>
      <c r="DI225" s="405"/>
      <c r="DJ225" s="405"/>
      <c r="DK225" s="405"/>
      <c r="DL225" s="405"/>
      <c r="DM225" s="405"/>
      <c r="DN225" s="405"/>
      <c r="DO225" s="405"/>
      <c r="DP225" s="405"/>
      <c r="DQ225" s="405"/>
      <c r="DR225" s="405"/>
      <c r="DS225" s="405"/>
      <c r="DT225" s="405"/>
      <c r="DU225" s="405"/>
      <c r="DV225" s="405"/>
      <c r="DW225" s="405"/>
      <c r="DX225" s="405"/>
      <c r="DY225" s="405"/>
      <c r="DZ225" s="405"/>
      <c r="EA225" s="405"/>
      <c r="EB225" s="405"/>
      <c r="EC225" s="405"/>
      <c r="ED225" s="405"/>
      <c r="EE225" s="405"/>
      <c r="EF225" s="405"/>
      <c r="EG225" s="405"/>
      <c r="EH225" s="405"/>
      <c r="EI225" s="405"/>
      <c r="EJ225" s="405"/>
      <c r="EK225" s="405"/>
      <c r="EL225" s="405"/>
      <c r="EM225" s="405"/>
      <c r="EN225" s="405"/>
    </row>
    <row r="226" spans="2:144" ht="15" customHeight="1" outlineLevel="1">
      <c r="B226" s="461"/>
      <c r="C226" s="461"/>
      <c r="D226" s="468" t="str">
        <f>D113</f>
        <v>Waste 1</v>
      </c>
      <c r="E226" s="468" t="str">
        <f>E113</f>
        <v>Waste 2</v>
      </c>
      <c r="F226" s="468" t="str">
        <f>F113</f>
        <v>Waste 3</v>
      </c>
      <c r="G226" s="468" t="str">
        <f>G113</f>
        <v>Waste 4</v>
      </c>
      <c r="H226" s="461"/>
      <c r="J226" s="403"/>
      <c r="U226" s="405"/>
      <c r="V226" s="405"/>
      <c r="W226" s="405"/>
      <c r="X226" s="405"/>
      <c r="Y226" s="405"/>
      <c r="Z226" s="405"/>
      <c r="AA226" s="405"/>
      <c r="AB226" s="405"/>
      <c r="AC226" s="405"/>
      <c r="AD226" s="405"/>
      <c r="AE226" s="405"/>
      <c r="AF226" s="405"/>
      <c r="AG226" s="405"/>
      <c r="AH226" s="405"/>
      <c r="AI226" s="405"/>
      <c r="AJ226" s="405"/>
      <c r="AK226" s="405"/>
      <c r="AL226" s="405"/>
      <c r="AM226" s="405"/>
      <c r="AN226" s="405"/>
      <c r="AO226" s="405"/>
      <c r="AP226" s="405"/>
      <c r="AQ226" s="405"/>
      <c r="AR226" s="405"/>
      <c r="AS226" s="405"/>
      <c r="AT226" s="405"/>
      <c r="AU226" s="405"/>
      <c r="AV226" s="405"/>
      <c r="AW226" s="405"/>
      <c r="AX226" s="405"/>
      <c r="AY226" s="405"/>
      <c r="AZ226" s="405"/>
      <c r="BA226" s="405"/>
      <c r="BB226" s="405"/>
      <c r="BC226" s="405"/>
      <c r="BD226" s="405"/>
      <c r="BE226" s="405"/>
      <c r="BF226" s="405"/>
      <c r="BG226" s="405"/>
      <c r="BH226" s="405"/>
      <c r="BI226" s="405"/>
      <c r="BJ226" s="405"/>
      <c r="BK226" s="405"/>
      <c r="BL226" s="405"/>
      <c r="BM226" s="405"/>
      <c r="BN226" s="405"/>
      <c r="BO226" s="405"/>
      <c r="BP226" s="405"/>
      <c r="BQ226" s="405"/>
      <c r="BR226" s="405"/>
      <c r="BS226" s="405"/>
      <c r="BT226" s="405"/>
      <c r="BU226" s="405"/>
      <c r="BV226" s="405"/>
      <c r="BW226" s="405"/>
      <c r="BX226" s="405"/>
      <c r="BY226" s="405"/>
      <c r="BZ226" s="405"/>
      <c r="CA226" s="405"/>
      <c r="CB226" s="405"/>
      <c r="CC226" s="405"/>
      <c r="CD226" s="405"/>
      <c r="CE226" s="405"/>
      <c r="CF226" s="405"/>
      <c r="CG226" s="405"/>
      <c r="CH226" s="405"/>
      <c r="CI226" s="405"/>
      <c r="CJ226" s="405"/>
      <c r="CK226" s="405"/>
      <c r="CL226" s="405"/>
      <c r="CM226" s="405"/>
      <c r="CN226" s="405"/>
      <c r="CO226" s="405"/>
      <c r="CP226" s="405"/>
      <c r="CQ226" s="405"/>
      <c r="CR226" s="405"/>
      <c r="CS226" s="405"/>
      <c r="CT226" s="405"/>
      <c r="CU226" s="405"/>
      <c r="CV226" s="405"/>
      <c r="CW226" s="405"/>
      <c r="CX226" s="405"/>
      <c r="CY226" s="405"/>
      <c r="CZ226" s="405"/>
      <c r="DA226" s="405"/>
      <c r="DB226" s="405"/>
      <c r="DC226" s="405"/>
      <c r="DD226" s="405"/>
      <c r="DE226" s="405"/>
      <c r="DF226" s="405"/>
      <c r="DG226" s="405"/>
      <c r="DH226" s="405"/>
      <c r="DI226" s="405"/>
      <c r="DJ226" s="405"/>
      <c r="DK226" s="405"/>
      <c r="DL226" s="405"/>
      <c r="DM226" s="405"/>
      <c r="DN226" s="405"/>
      <c r="DO226" s="405"/>
      <c r="DP226" s="405"/>
      <c r="DQ226" s="405"/>
      <c r="DR226" s="405"/>
      <c r="DS226" s="405"/>
      <c r="DT226" s="405"/>
      <c r="DU226" s="405"/>
      <c r="DV226" s="405"/>
      <c r="DW226" s="405"/>
      <c r="DX226" s="405"/>
      <c r="DY226" s="405"/>
      <c r="DZ226" s="405"/>
      <c r="EA226" s="405"/>
      <c r="EB226" s="405"/>
      <c r="EC226" s="405"/>
      <c r="ED226" s="405"/>
      <c r="EE226" s="405"/>
      <c r="EF226" s="405"/>
      <c r="EG226" s="405"/>
      <c r="EH226" s="405"/>
      <c r="EI226" s="405"/>
      <c r="EJ226" s="405"/>
      <c r="EK226" s="405"/>
      <c r="EL226" s="405"/>
      <c r="EM226" s="405"/>
      <c r="EN226" s="405"/>
    </row>
    <row r="227" spans="2:144" ht="15" customHeight="1" outlineLevel="1">
      <c r="B227" s="411" t="str">
        <f>B114</f>
        <v>Waste type and disposal</v>
      </c>
      <c r="C227" s="411"/>
      <c r="D227" s="253" t="s">
        <v>249</v>
      </c>
      <c r="E227" s="253" t="s">
        <v>249</v>
      </c>
      <c r="F227" s="253" t="s">
        <v>249</v>
      </c>
      <c r="G227" s="253" t="s">
        <v>249</v>
      </c>
      <c r="H227" s="411" t="str">
        <f>G22</f>
        <v>[Selection]</v>
      </c>
      <c r="J227" s="403"/>
      <c r="U227" s="405"/>
      <c r="V227" s="405"/>
      <c r="W227" s="405"/>
      <c r="X227" s="405"/>
      <c r="Y227" s="405"/>
      <c r="Z227" s="405"/>
      <c r="AA227" s="405"/>
      <c r="AB227" s="405"/>
      <c r="AC227" s="405"/>
      <c r="AD227" s="405"/>
      <c r="AE227" s="405"/>
      <c r="AF227" s="405"/>
      <c r="AG227" s="405"/>
      <c r="AH227" s="405"/>
      <c r="AI227" s="405"/>
      <c r="AJ227" s="405"/>
      <c r="AK227" s="405"/>
      <c r="AL227" s="405"/>
      <c r="AM227" s="405"/>
      <c r="AN227" s="405"/>
      <c r="AO227" s="405"/>
      <c r="AP227" s="405"/>
      <c r="AQ227" s="405"/>
      <c r="AR227" s="405"/>
      <c r="AS227" s="405"/>
      <c r="AT227" s="405"/>
      <c r="AU227" s="405"/>
      <c r="AV227" s="405"/>
      <c r="AW227" s="405"/>
      <c r="AX227" s="405"/>
      <c r="AY227" s="405"/>
      <c r="AZ227" s="405"/>
      <c r="BA227" s="405"/>
      <c r="BB227" s="405"/>
      <c r="BC227" s="405"/>
      <c r="BD227" s="405"/>
      <c r="BE227" s="405"/>
      <c r="BF227" s="405"/>
      <c r="BG227" s="405"/>
      <c r="BH227" s="405"/>
      <c r="BI227" s="405"/>
      <c r="BJ227" s="405"/>
      <c r="BK227" s="405"/>
      <c r="BL227" s="405"/>
      <c r="BM227" s="405"/>
      <c r="BN227" s="405"/>
      <c r="BO227" s="405"/>
      <c r="BP227" s="405"/>
      <c r="BQ227" s="405"/>
      <c r="BR227" s="405"/>
      <c r="BS227" s="405"/>
      <c r="BT227" s="405"/>
      <c r="BU227" s="405"/>
      <c r="BV227" s="405"/>
      <c r="BW227" s="405"/>
      <c r="BX227" s="405"/>
      <c r="BY227" s="405"/>
      <c r="BZ227" s="405"/>
      <c r="CA227" s="405"/>
      <c r="CB227" s="405"/>
      <c r="CC227" s="405"/>
      <c r="CD227" s="405"/>
      <c r="CE227" s="405"/>
      <c r="CF227" s="405"/>
      <c r="CG227" s="405"/>
      <c r="CH227" s="405"/>
      <c r="CI227" s="405"/>
      <c r="CJ227" s="405"/>
      <c r="CK227" s="405"/>
      <c r="CL227" s="405"/>
      <c r="CM227" s="405"/>
      <c r="CN227" s="405"/>
      <c r="CO227" s="405"/>
      <c r="CP227" s="405"/>
      <c r="CQ227" s="405"/>
      <c r="CR227" s="405"/>
      <c r="CS227" s="405"/>
      <c r="CT227" s="405"/>
      <c r="CU227" s="405"/>
      <c r="CV227" s="405"/>
      <c r="CW227" s="405"/>
      <c r="CX227" s="405"/>
      <c r="CY227" s="405"/>
      <c r="CZ227" s="405"/>
      <c r="DA227" s="405"/>
      <c r="DB227" s="405"/>
      <c r="DC227" s="405"/>
      <c r="DD227" s="405"/>
      <c r="DE227" s="405"/>
      <c r="DF227" s="405"/>
      <c r="DG227" s="405"/>
      <c r="DH227" s="405"/>
      <c r="DI227" s="405"/>
      <c r="DJ227" s="405"/>
      <c r="DK227" s="405"/>
      <c r="DL227" s="405"/>
      <c r="DM227" s="405"/>
      <c r="DN227" s="405"/>
      <c r="DO227" s="405"/>
      <c r="DP227" s="405"/>
      <c r="DQ227" s="405"/>
      <c r="DR227" s="405"/>
      <c r="DS227" s="405"/>
      <c r="DT227" s="405"/>
      <c r="DU227" s="405"/>
      <c r="DV227" s="405"/>
      <c r="DW227" s="405"/>
      <c r="DX227" s="405"/>
      <c r="DY227" s="405"/>
      <c r="DZ227" s="405"/>
      <c r="EA227" s="405"/>
      <c r="EB227" s="405"/>
      <c r="EC227" s="405"/>
      <c r="ED227" s="405"/>
      <c r="EE227" s="405"/>
      <c r="EF227" s="405"/>
      <c r="EG227" s="405"/>
      <c r="EH227" s="405"/>
      <c r="EI227" s="405"/>
      <c r="EJ227" s="405"/>
      <c r="EK227" s="405"/>
      <c r="EL227" s="405"/>
      <c r="EM227" s="405"/>
      <c r="EN227" s="405"/>
    </row>
    <row r="228" spans="2:144" ht="15" customHeight="1" outlineLevel="1">
      <c r="B228" s="411" t="str">
        <f>B115</f>
        <v>Amount of waste per year</v>
      </c>
      <c r="C228" s="411"/>
      <c r="D228" s="298">
        <v>0</v>
      </c>
      <c r="E228" s="298">
        <v>0</v>
      </c>
      <c r="F228" s="298">
        <v>0</v>
      </c>
      <c r="G228" s="298">
        <v>0</v>
      </c>
      <c r="H228" s="411"/>
      <c r="J228" s="403"/>
      <c r="U228" s="405"/>
      <c r="V228" s="405"/>
      <c r="W228" s="405"/>
      <c r="X228" s="405"/>
      <c r="Y228" s="405"/>
      <c r="Z228" s="405"/>
      <c r="AA228" s="405"/>
      <c r="AB228" s="405"/>
      <c r="AC228" s="405"/>
      <c r="AD228" s="405"/>
      <c r="AE228" s="405"/>
      <c r="AF228" s="405"/>
      <c r="AG228" s="405"/>
      <c r="AH228" s="405"/>
      <c r="AI228" s="405"/>
      <c r="AJ228" s="405"/>
      <c r="AK228" s="405"/>
      <c r="AL228" s="405"/>
      <c r="AM228" s="405"/>
      <c r="AN228" s="405"/>
      <c r="AO228" s="405"/>
      <c r="AP228" s="405"/>
      <c r="AQ228" s="405"/>
      <c r="AR228" s="405"/>
      <c r="AS228" s="405"/>
      <c r="AT228" s="405"/>
      <c r="AU228" s="405"/>
      <c r="AV228" s="405"/>
      <c r="AW228" s="405"/>
      <c r="AX228" s="405"/>
      <c r="AY228" s="405"/>
      <c r="AZ228" s="405"/>
      <c r="BA228" s="405"/>
      <c r="BB228" s="405"/>
      <c r="BC228" s="405"/>
      <c r="BD228" s="405"/>
      <c r="BE228" s="405"/>
      <c r="BF228" s="405"/>
      <c r="BG228" s="405"/>
      <c r="BH228" s="405"/>
      <c r="BI228" s="405"/>
      <c r="BJ228" s="405"/>
      <c r="BK228" s="405"/>
      <c r="BL228" s="405"/>
      <c r="BM228" s="405"/>
      <c r="BN228" s="405"/>
      <c r="BO228" s="405"/>
      <c r="BP228" s="405"/>
      <c r="BQ228" s="405"/>
      <c r="BR228" s="405"/>
      <c r="BS228" s="405"/>
      <c r="BT228" s="405"/>
      <c r="BU228" s="405"/>
      <c r="BV228" s="405"/>
      <c r="BW228" s="405"/>
      <c r="BX228" s="405"/>
      <c r="BY228" s="405"/>
      <c r="BZ228" s="405"/>
      <c r="CA228" s="405"/>
      <c r="CB228" s="405"/>
      <c r="CC228" s="405"/>
      <c r="CD228" s="405"/>
      <c r="CE228" s="405"/>
      <c r="CF228" s="405"/>
      <c r="CG228" s="405"/>
      <c r="CH228" s="405"/>
      <c r="CI228" s="405"/>
      <c r="CJ228" s="405"/>
      <c r="CK228" s="405"/>
      <c r="CL228" s="405"/>
      <c r="CM228" s="405"/>
      <c r="CN228" s="405"/>
      <c r="CO228" s="405"/>
      <c r="CP228" s="405"/>
      <c r="CQ228" s="405"/>
      <c r="CR228" s="405"/>
      <c r="CS228" s="405"/>
      <c r="CT228" s="405"/>
      <c r="CU228" s="405"/>
      <c r="CV228" s="405"/>
      <c r="CW228" s="405"/>
      <c r="CX228" s="405"/>
      <c r="CY228" s="405"/>
      <c r="CZ228" s="405"/>
      <c r="DA228" s="405"/>
      <c r="DB228" s="405"/>
      <c r="DC228" s="405"/>
      <c r="DD228" s="405"/>
      <c r="DE228" s="405"/>
      <c r="DF228" s="405"/>
      <c r="DG228" s="405"/>
      <c r="DH228" s="405"/>
      <c r="DI228" s="405"/>
      <c r="DJ228" s="405"/>
      <c r="DK228" s="405"/>
      <c r="DL228" s="405"/>
      <c r="DM228" s="405"/>
      <c r="DN228" s="405"/>
      <c r="DO228" s="405"/>
      <c r="DP228" s="405"/>
      <c r="DQ228" s="405"/>
      <c r="DR228" s="405"/>
      <c r="DS228" s="405"/>
      <c r="DT228" s="405"/>
      <c r="DU228" s="405"/>
      <c r="DV228" s="405"/>
      <c r="DW228" s="405"/>
      <c r="DX228" s="405"/>
      <c r="DY228" s="405"/>
      <c r="DZ228" s="405"/>
      <c r="EA228" s="405"/>
      <c r="EB228" s="405"/>
      <c r="EC228" s="405"/>
      <c r="ED228" s="405"/>
      <c r="EE228" s="405"/>
      <c r="EF228" s="405"/>
      <c r="EG228" s="405"/>
      <c r="EH228" s="405"/>
      <c r="EI228" s="405"/>
      <c r="EJ228" s="405"/>
      <c r="EK228" s="405"/>
      <c r="EL228" s="405"/>
      <c r="EM228" s="405"/>
      <c r="EN228" s="405"/>
    </row>
    <row r="229" spans="2:144" ht="15" customHeight="1" outlineLevel="1">
      <c r="B229" s="411" t="str">
        <f>B116</f>
        <v>Unit</v>
      </c>
      <c r="C229" s="411"/>
      <c r="D229" s="469" t="str">
        <f>VLOOKUP(D227,Hidden_Database!$C$42:$E$53,3,FALSE)</f>
        <v/>
      </c>
      <c r="E229" s="469" t="str">
        <f>VLOOKUP(E227,Hidden_Database!$C$42:$E$53,3,FALSE)</f>
        <v/>
      </c>
      <c r="F229" s="469" t="str">
        <f>VLOOKUP(F227,Hidden_Database!$C$42:$E$53,3,FALSE)</f>
        <v/>
      </c>
      <c r="G229" s="469" t="str">
        <f>VLOOKUP(G227,Hidden_Database!$C$42:$E$53,3,FALSE)</f>
        <v/>
      </c>
      <c r="H229" s="411"/>
      <c r="J229" s="403"/>
      <c r="U229" s="405"/>
      <c r="V229" s="405"/>
      <c r="W229" s="405"/>
      <c r="X229" s="405"/>
      <c r="Y229" s="405"/>
      <c r="Z229" s="405"/>
      <c r="AA229" s="405"/>
      <c r="AB229" s="405"/>
      <c r="AC229" s="405"/>
      <c r="AD229" s="405"/>
      <c r="AE229" s="405"/>
      <c r="AF229" s="405"/>
      <c r="AG229" s="405"/>
      <c r="AH229" s="405"/>
      <c r="AI229" s="405"/>
      <c r="AJ229" s="405"/>
      <c r="AK229" s="405"/>
      <c r="AL229" s="405"/>
      <c r="AM229" s="405"/>
      <c r="AN229" s="405"/>
      <c r="AO229" s="405"/>
      <c r="AP229" s="405"/>
      <c r="AQ229" s="405"/>
      <c r="AR229" s="405"/>
      <c r="AS229" s="405"/>
      <c r="AT229" s="405"/>
      <c r="AU229" s="405"/>
      <c r="AV229" s="405"/>
      <c r="AW229" s="405"/>
      <c r="AX229" s="405"/>
      <c r="AY229" s="405"/>
      <c r="AZ229" s="405"/>
      <c r="BA229" s="405"/>
      <c r="BB229" s="405"/>
      <c r="BC229" s="405"/>
      <c r="BD229" s="405"/>
      <c r="BE229" s="405"/>
      <c r="BF229" s="405"/>
      <c r="BG229" s="405"/>
      <c r="BH229" s="405"/>
      <c r="BI229" s="405"/>
      <c r="BJ229" s="405"/>
      <c r="BK229" s="405"/>
      <c r="BL229" s="405"/>
      <c r="BM229" s="405"/>
      <c r="BN229" s="405"/>
      <c r="BO229" s="405"/>
      <c r="BP229" s="405"/>
      <c r="BQ229" s="405"/>
      <c r="BR229" s="405"/>
      <c r="BS229" s="405"/>
      <c r="BT229" s="405"/>
      <c r="BU229" s="405"/>
      <c r="BV229" s="405"/>
      <c r="BW229" s="405"/>
      <c r="BX229" s="405"/>
      <c r="BY229" s="405"/>
      <c r="BZ229" s="405"/>
      <c r="CA229" s="405"/>
      <c r="CB229" s="405"/>
      <c r="CC229" s="405"/>
      <c r="CD229" s="405"/>
      <c r="CE229" s="405"/>
      <c r="CF229" s="405"/>
      <c r="CG229" s="405"/>
      <c r="CH229" s="405"/>
      <c r="CI229" s="405"/>
      <c r="CJ229" s="405"/>
      <c r="CK229" s="405"/>
      <c r="CL229" s="405"/>
      <c r="CM229" s="405"/>
      <c r="CN229" s="405"/>
      <c r="CO229" s="405"/>
      <c r="CP229" s="405"/>
      <c r="CQ229" s="405"/>
      <c r="CR229" s="405"/>
      <c r="CS229" s="405"/>
      <c r="CT229" s="405"/>
      <c r="CU229" s="405"/>
      <c r="CV229" s="405"/>
      <c r="CW229" s="405"/>
      <c r="CX229" s="405"/>
      <c r="CY229" s="405"/>
      <c r="CZ229" s="405"/>
      <c r="DA229" s="405"/>
      <c r="DB229" s="405"/>
      <c r="DC229" s="405"/>
      <c r="DD229" s="405"/>
      <c r="DE229" s="405"/>
      <c r="DF229" s="405"/>
      <c r="DG229" s="405"/>
      <c r="DH229" s="405"/>
      <c r="DI229" s="405"/>
      <c r="DJ229" s="405"/>
      <c r="DK229" s="405"/>
      <c r="DL229" s="405"/>
      <c r="DM229" s="405"/>
      <c r="DN229" s="405"/>
      <c r="DO229" s="405"/>
      <c r="DP229" s="405"/>
      <c r="DQ229" s="405"/>
      <c r="DR229" s="405"/>
      <c r="DS229" s="405"/>
      <c r="DT229" s="405"/>
      <c r="DU229" s="405"/>
      <c r="DV229" s="405"/>
      <c r="DW229" s="405"/>
      <c r="DX229" s="405"/>
      <c r="DY229" s="405"/>
      <c r="DZ229" s="405"/>
      <c r="EA229" s="405"/>
      <c r="EB229" s="405"/>
      <c r="EC229" s="405"/>
      <c r="ED229" s="405"/>
      <c r="EE229" s="405"/>
      <c r="EF229" s="405"/>
      <c r="EG229" s="405"/>
      <c r="EH229" s="405"/>
      <c r="EI229" s="405"/>
      <c r="EJ229" s="405"/>
      <c r="EK229" s="405"/>
      <c r="EL229" s="405"/>
      <c r="EM229" s="405"/>
      <c r="EN229" s="405"/>
    </row>
    <row r="230" spans="2:144" ht="15" customHeight="1" outlineLevel="1">
      <c r="B230" s="411" t="str">
        <f>B117</f>
        <v>Transport distance by lorry truck</v>
      </c>
      <c r="C230" s="411"/>
      <c r="D230" s="298">
        <v>0</v>
      </c>
      <c r="E230" s="298">
        <v>0</v>
      </c>
      <c r="F230" s="298">
        <v>0</v>
      </c>
      <c r="G230" s="298">
        <v>0</v>
      </c>
      <c r="H230" s="411" t="str">
        <f>H117</f>
        <v>[km]</v>
      </c>
      <c r="J230" s="403"/>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5"/>
      <c r="BO230" s="405"/>
      <c r="BP230" s="405"/>
      <c r="BQ230" s="405"/>
      <c r="BR230" s="405"/>
      <c r="BS230" s="405"/>
      <c r="BT230" s="405"/>
      <c r="BU230" s="405"/>
      <c r="BV230" s="405"/>
      <c r="BW230" s="405"/>
      <c r="BX230" s="405"/>
      <c r="BY230" s="405"/>
      <c r="BZ230" s="405"/>
      <c r="CA230" s="405"/>
      <c r="CB230" s="405"/>
      <c r="CC230" s="405"/>
      <c r="CD230" s="405"/>
      <c r="CE230" s="405"/>
      <c r="CF230" s="405"/>
      <c r="CG230" s="405"/>
      <c r="CH230" s="405"/>
      <c r="CI230" s="405"/>
      <c r="CJ230" s="405"/>
      <c r="CK230" s="405"/>
      <c r="CL230" s="405"/>
      <c r="CM230" s="405"/>
      <c r="CN230" s="405"/>
      <c r="CO230" s="405"/>
      <c r="CP230" s="405"/>
      <c r="CQ230" s="405"/>
      <c r="CR230" s="405"/>
      <c r="CS230" s="405"/>
      <c r="CT230" s="405"/>
      <c r="CU230" s="405"/>
      <c r="CV230" s="405"/>
      <c r="CW230" s="405"/>
      <c r="CX230" s="405"/>
      <c r="CY230" s="405"/>
      <c r="CZ230" s="405"/>
      <c r="DA230" s="405"/>
      <c r="DB230" s="405"/>
      <c r="DC230" s="405"/>
      <c r="DD230" s="405"/>
      <c r="DE230" s="405"/>
      <c r="DF230" s="405"/>
      <c r="DG230" s="405"/>
      <c r="DH230" s="405"/>
      <c r="DI230" s="405"/>
      <c r="DJ230" s="405"/>
      <c r="DK230" s="405"/>
      <c r="DL230" s="405"/>
      <c r="DM230" s="405"/>
      <c r="DN230" s="405"/>
      <c r="DO230" s="405"/>
      <c r="DP230" s="405"/>
      <c r="DQ230" s="405"/>
      <c r="DR230" s="405"/>
      <c r="DS230" s="405"/>
      <c r="DT230" s="405"/>
      <c r="DU230" s="405"/>
      <c r="DV230" s="405"/>
      <c r="DW230" s="405"/>
      <c r="DX230" s="405"/>
      <c r="DY230" s="405"/>
      <c r="DZ230" s="405"/>
      <c r="EA230" s="405"/>
      <c r="EB230" s="405"/>
      <c r="EC230" s="405"/>
      <c r="ED230" s="405"/>
      <c r="EE230" s="405"/>
      <c r="EF230" s="405"/>
      <c r="EG230" s="405"/>
      <c r="EH230" s="405"/>
      <c r="EI230" s="405"/>
      <c r="EJ230" s="405"/>
      <c r="EK230" s="405"/>
      <c r="EL230" s="405"/>
      <c r="EM230" s="405"/>
      <c r="EN230" s="405"/>
    </row>
    <row r="231" spans="2:144" ht="15" customHeight="1" outlineLevel="1">
      <c r="F231" s="413"/>
      <c r="G231" s="413"/>
      <c r="H231" s="403"/>
      <c r="J231" s="403"/>
      <c r="U231" s="405"/>
      <c r="V231" s="405"/>
      <c r="W231" s="405"/>
      <c r="X231" s="405"/>
      <c r="Y231" s="405"/>
      <c r="Z231" s="405"/>
      <c r="AA231" s="405"/>
      <c r="AB231" s="405"/>
      <c r="AC231" s="405"/>
      <c r="AD231" s="405"/>
      <c r="AE231" s="405"/>
      <c r="AF231" s="405"/>
      <c r="AG231" s="405"/>
      <c r="AH231" s="405"/>
      <c r="AI231" s="405"/>
      <c r="AJ231" s="405"/>
      <c r="AK231" s="405"/>
      <c r="AL231" s="405"/>
      <c r="AM231" s="405"/>
      <c r="AN231" s="405"/>
      <c r="AO231" s="405"/>
      <c r="AP231" s="405"/>
      <c r="AQ231" s="405"/>
      <c r="AR231" s="405"/>
      <c r="AS231" s="405"/>
      <c r="AT231" s="405"/>
      <c r="AU231" s="405"/>
      <c r="AV231" s="405"/>
      <c r="AW231" s="405"/>
      <c r="AX231" s="405"/>
      <c r="AY231" s="405"/>
      <c r="AZ231" s="405"/>
      <c r="BA231" s="405"/>
      <c r="BB231" s="405"/>
      <c r="BC231" s="405"/>
      <c r="BD231" s="405"/>
      <c r="BE231" s="405"/>
      <c r="BF231" s="405"/>
      <c r="BG231" s="405"/>
      <c r="BH231" s="405"/>
      <c r="BI231" s="405"/>
      <c r="BJ231" s="405"/>
      <c r="BK231" s="405"/>
      <c r="BL231" s="405"/>
      <c r="BM231" s="405"/>
      <c r="BN231" s="405"/>
      <c r="BO231" s="405"/>
      <c r="BP231" s="405"/>
      <c r="BQ231" s="405"/>
      <c r="BR231" s="405"/>
      <c r="BS231" s="405"/>
      <c r="BT231" s="405"/>
      <c r="BU231" s="405"/>
      <c r="BV231" s="405"/>
      <c r="BW231" s="405"/>
      <c r="BX231" s="405"/>
      <c r="BY231" s="405"/>
      <c r="BZ231" s="405"/>
      <c r="CA231" s="405"/>
      <c r="CB231" s="405"/>
      <c r="CC231" s="405"/>
      <c r="CD231" s="405"/>
      <c r="CE231" s="405"/>
      <c r="CF231" s="405"/>
      <c r="CG231" s="405"/>
      <c r="CH231" s="405"/>
      <c r="CI231" s="405"/>
      <c r="CJ231" s="405"/>
      <c r="CK231" s="405"/>
      <c r="CL231" s="405"/>
      <c r="CM231" s="405"/>
      <c r="CN231" s="405"/>
      <c r="CO231" s="405"/>
      <c r="CP231" s="405"/>
      <c r="CQ231" s="405"/>
      <c r="CR231" s="405"/>
      <c r="CS231" s="405"/>
      <c r="CT231" s="405"/>
      <c r="CU231" s="405"/>
      <c r="CV231" s="405"/>
      <c r="CW231" s="405"/>
      <c r="CX231" s="405"/>
      <c r="CY231" s="405"/>
      <c r="CZ231" s="405"/>
      <c r="DA231" s="405"/>
      <c r="DB231" s="405"/>
      <c r="DC231" s="405"/>
      <c r="DD231" s="405"/>
      <c r="DE231" s="405"/>
      <c r="DF231" s="405"/>
      <c r="DG231" s="405"/>
      <c r="DH231" s="405"/>
      <c r="DI231" s="405"/>
      <c r="DJ231" s="405"/>
      <c r="DK231" s="405"/>
      <c r="DL231" s="405"/>
      <c r="DM231" s="405"/>
      <c r="DN231" s="405"/>
      <c r="DO231" s="405"/>
      <c r="DP231" s="405"/>
      <c r="DQ231" s="405"/>
      <c r="DR231" s="405"/>
      <c r="DS231" s="405"/>
      <c r="DT231" s="405"/>
      <c r="DU231" s="405"/>
      <c r="DV231" s="405"/>
      <c r="DW231" s="405"/>
      <c r="DX231" s="405"/>
      <c r="DY231" s="405"/>
      <c r="DZ231" s="405"/>
      <c r="EA231" s="405"/>
      <c r="EB231" s="405"/>
      <c r="EC231" s="405"/>
      <c r="ED231" s="405"/>
      <c r="EE231" s="405"/>
      <c r="EF231" s="405"/>
      <c r="EG231" s="405"/>
      <c r="EH231" s="405"/>
      <c r="EI231" s="405"/>
      <c r="EJ231" s="405"/>
      <c r="EK231" s="405"/>
      <c r="EL231" s="405"/>
      <c r="EM231" s="405"/>
      <c r="EN231" s="405"/>
    </row>
    <row r="232" spans="2:144" ht="15" customHeight="1">
      <c r="B232" s="494" t="str">
        <f>VLOOKUP("Input_6_Header",Hidden_Translations!$B$11:$J$1184,Hidden_Translations!$C$8,FALSE)</f>
        <v>#6: Multi drop transport (distribution center to retailer)</v>
      </c>
      <c r="C232" s="494"/>
      <c r="D232" s="494"/>
      <c r="E232" s="494"/>
      <c r="F232" s="494"/>
      <c r="G232" s="494"/>
      <c r="H232" s="494"/>
      <c r="J232" s="403"/>
      <c r="U232" s="405"/>
      <c r="V232" s="405"/>
      <c r="W232" s="405"/>
      <c r="X232" s="405"/>
      <c r="Y232" s="405"/>
      <c r="Z232" s="405"/>
      <c r="AA232" s="405"/>
      <c r="AB232" s="405"/>
      <c r="AC232" s="405"/>
      <c r="AD232" s="405"/>
      <c r="AE232" s="405"/>
      <c r="AF232" s="405"/>
      <c r="AG232" s="405"/>
      <c r="AH232" s="405"/>
      <c r="AI232" s="405"/>
      <c r="AJ232" s="405"/>
      <c r="AK232" s="405"/>
      <c r="AL232" s="405"/>
      <c r="AM232" s="405"/>
      <c r="AN232" s="405"/>
      <c r="AO232" s="405"/>
      <c r="AP232" s="405"/>
      <c r="AQ232" s="405"/>
      <c r="AR232" s="405"/>
      <c r="AS232" s="405"/>
      <c r="AT232" s="405"/>
      <c r="AU232" s="405"/>
      <c r="AV232" s="405"/>
      <c r="AW232" s="405"/>
      <c r="AX232" s="405"/>
      <c r="AY232" s="405"/>
      <c r="AZ232" s="405"/>
      <c r="BA232" s="405"/>
      <c r="BB232" s="405"/>
      <c r="BC232" s="405"/>
      <c r="BD232" s="405"/>
      <c r="BE232" s="405"/>
      <c r="BF232" s="405"/>
      <c r="BG232" s="405"/>
      <c r="BH232" s="405"/>
      <c r="BI232" s="405"/>
      <c r="BJ232" s="405"/>
      <c r="BK232" s="405"/>
      <c r="BL232" s="405"/>
      <c r="BM232" s="405"/>
      <c r="BN232" s="405"/>
      <c r="BO232" s="405"/>
      <c r="BP232" s="405"/>
      <c r="BQ232" s="405"/>
      <c r="BR232" s="405"/>
      <c r="BS232" s="405"/>
      <c r="BT232" s="405"/>
      <c r="BU232" s="405"/>
      <c r="BV232" s="405"/>
      <c r="BW232" s="405"/>
      <c r="BX232" s="405"/>
      <c r="BY232" s="405"/>
      <c r="BZ232" s="405"/>
      <c r="CA232" s="405"/>
      <c r="CB232" s="405"/>
      <c r="CC232" s="405"/>
      <c r="CD232" s="405"/>
      <c r="CE232" s="405"/>
      <c r="CF232" s="405"/>
      <c r="CG232" s="405"/>
      <c r="CH232" s="405"/>
      <c r="CI232" s="405"/>
      <c r="CJ232" s="405"/>
      <c r="CK232" s="405"/>
      <c r="CL232" s="405"/>
      <c r="CM232" s="405"/>
      <c r="CN232" s="405"/>
      <c r="CO232" s="405"/>
      <c r="CP232" s="405"/>
      <c r="CQ232" s="405"/>
      <c r="CR232" s="405"/>
      <c r="CS232" s="405"/>
      <c r="CT232" s="405"/>
      <c r="CU232" s="405"/>
      <c r="CV232" s="405"/>
      <c r="CW232" s="405"/>
      <c r="CX232" s="405"/>
      <c r="CY232" s="405"/>
      <c r="CZ232" s="405"/>
      <c r="DA232" s="405"/>
      <c r="DB232" s="405"/>
      <c r="DC232" s="405"/>
      <c r="DD232" s="405"/>
      <c r="DE232" s="405"/>
      <c r="DF232" s="405"/>
      <c r="DG232" s="405"/>
      <c r="DH232" s="405"/>
      <c r="DI232" s="405"/>
      <c r="DJ232" s="405"/>
      <c r="DK232" s="405"/>
      <c r="DL232" s="405"/>
      <c r="DM232" s="405"/>
      <c r="DN232" s="405"/>
      <c r="DO232" s="405"/>
      <c r="DP232" s="405"/>
      <c r="DQ232" s="405"/>
      <c r="DR232" s="405"/>
      <c r="DS232" s="405"/>
      <c r="DT232" s="405"/>
      <c r="DU232" s="405"/>
      <c r="DV232" s="405"/>
      <c r="DW232" s="405"/>
      <c r="DX232" s="405"/>
      <c r="DY232" s="405"/>
      <c r="DZ232" s="405"/>
      <c r="EA232" s="405"/>
      <c r="EB232" s="405"/>
      <c r="EC232" s="405"/>
      <c r="ED232" s="405"/>
      <c r="EE232" s="405"/>
      <c r="EF232" s="405"/>
      <c r="EG232" s="405"/>
      <c r="EH232" s="405"/>
      <c r="EI232" s="405"/>
      <c r="EJ232" s="405"/>
      <c r="EK232" s="405"/>
      <c r="EL232" s="405"/>
      <c r="EM232" s="405"/>
      <c r="EN232" s="405"/>
    </row>
    <row r="233" spans="2:144" ht="15" customHeight="1">
      <c r="B233" s="403"/>
      <c r="C233" s="403"/>
      <c r="D233" s="403"/>
      <c r="E233" s="403"/>
      <c r="F233" s="403"/>
      <c r="G233" s="403"/>
      <c r="H233" s="403"/>
      <c r="J233" s="403"/>
      <c r="U233" s="405"/>
      <c r="V233" s="405"/>
      <c r="W233" s="405"/>
      <c r="X233" s="405"/>
      <c r="Y233" s="405"/>
      <c r="Z233" s="405"/>
      <c r="AA233" s="405"/>
      <c r="AB233" s="405"/>
      <c r="AC233" s="405"/>
      <c r="AD233" s="405"/>
      <c r="AE233" s="405"/>
      <c r="AF233" s="405"/>
      <c r="AG233" s="405"/>
      <c r="AH233" s="405"/>
      <c r="AI233" s="405"/>
      <c r="AJ233" s="405"/>
      <c r="AK233" s="405"/>
      <c r="AL233" s="405"/>
      <c r="AM233" s="405"/>
      <c r="AN233" s="405"/>
      <c r="AO233" s="405"/>
      <c r="AP233" s="405"/>
      <c r="AQ233" s="405"/>
      <c r="AR233" s="405"/>
      <c r="AS233" s="405"/>
      <c r="AT233" s="405"/>
      <c r="AU233" s="405"/>
      <c r="AV233" s="405"/>
      <c r="AW233" s="405"/>
      <c r="AX233" s="405"/>
      <c r="AY233" s="405"/>
      <c r="AZ233" s="405"/>
      <c r="BA233" s="405"/>
      <c r="BB233" s="405"/>
      <c r="BC233" s="405"/>
      <c r="BD233" s="405"/>
      <c r="BE233" s="405"/>
      <c r="BF233" s="405"/>
      <c r="BG233" s="405"/>
      <c r="BH233" s="405"/>
      <c r="BI233" s="405"/>
      <c r="BJ233" s="405"/>
      <c r="BK233" s="405"/>
      <c r="BL233" s="405"/>
      <c r="BM233" s="405"/>
      <c r="BN233" s="405"/>
      <c r="BO233" s="405"/>
      <c r="BP233" s="405"/>
      <c r="BQ233" s="405"/>
      <c r="BR233" s="405"/>
      <c r="BS233" s="405"/>
      <c r="BT233" s="405"/>
      <c r="BU233" s="405"/>
      <c r="BV233" s="405"/>
      <c r="BW233" s="405"/>
      <c r="BX233" s="405"/>
      <c r="BY233" s="405"/>
      <c r="BZ233" s="405"/>
      <c r="CA233" s="405"/>
      <c r="CB233" s="405"/>
      <c r="CC233" s="405"/>
      <c r="CD233" s="405"/>
      <c r="CE233" s="405"/>
      <c r="CF233" s="405"/>
      <c r="CG233" s="405"/>
      <c r="CH233" s="405"/>
      <c r="CI233" s="405"/>
      <c r="CJ233" s="405"/>
      <c r="CK233" s="405"/>
      <c r="CL233" s="405"/>
      <c r="CM233" s="405"/>
      <c r="CN233" s="405"/>
      <c r="CO233" s="405"/>
      <c r="CP233" s="405"/>
      <c r="CQ233" s="405"/>
      <c r="CR233" s="405"/>
      <c r="CS233" s="405"/>
      <c r="CT233" s="405"/>
      <c r="CU233" s="405"/>
      <c r="CV233" s="405"/>
      <c r="CW233" s="405"/>
      <c r="CX233" s="405"/>
      <c r="CY233" s="405"/>
      <c r="CZ233" s="405"/>
      <c r="DA233" s="405"/>
      <c r="DB233" s="405"/>
      <c r="DC233" s="405"/>
      <c r="DD233" s="405"/>
      <c r="DE233" s="405"/>
      <c r="DF233" s="405"/>
      <c r="DG233" s="405"/>
      <c r="DH233" s="405"/>
      <c r="DI233" s="405"/>
      <c r="DJ233" s="405"/>
      <c r="DK233" s="405"/>
      <c r="DL233" s="405"/>
      <c r="DM233" s="405"/>
      <c r="DN233" s="405"/>
      <c r="DO233" s="405"/>
      <c r="DP233" s="405"/>
      <c r="DQ233" s="405"/>
      <c r="DR233" s="405"/>
      <c r="DS233" s="405"/>
      <c r="DT233" s="405"/>
      <c r="DU233" s="405"/>
      <c r="DV233" s="405"/>
      <c r="DW233" s="405"/>
      <c r="DX233" s="405"/>
      <c r="DY233" s="405"/>
      <c r="DZ233" s="405"/>
      <c r="EA233" s="405"/>
      <c r="EB233" s="405"/>
      <c r="EC233" s="405"/>
      <c r="ED233" s="405"/>
      <c r="EE233" s="405"/>
      <c r="EF233" s="405"/>
      <c r="EG233" s="405"/>
      <c r="EH233" s="405"/>
      <c r="EI233" s="405"/>
      <c r="EJ233" s="405"/>
      <c r="EK233" s="405"/>
      <c r="EL233" s="405"/>
      <c r="EM233" s="405"/>
      <c r="EN233" s="405"/>
    </row>
    <row r="234" spans="2:144" ht="15" customHeight="1" outlineLevel="1">
      <c r="B234" s="475" t="str">
        <f>VLOOKUP("Input_6_Header_Text",Hidden_Translations!$B$11:$J$1184,Hidden_Translations!$C$8,FALSE)</f>
        <v>This steps covers the distribution of products from the warehouse to the indiviudal retailers.</v>
      </c>
      <c r="C234" s="403"/>
      <c r="D234" s="403"/>
      <c r="E234" s="403"/>
      <c r="F234" s="403"/>
      <c r="G234" s="403"/>
      <c r="H234" s="403"/>
      <c r="J234" s="403"/>
      <c r="U234" s="405"/>
      <c r="V234" s="405"/>
      <c r="W234" s="405"/>
      <c r="X234" s="405"/>
      <c r="Y234" s="405"/>
      <c r="Z234" s="405"/>
      <c r="AA234" s="405"/>
      <c r="AB234" s="405"/>
      <c r="AC234" s="405"/>
      <c r="AD234" s="405"/>
      <c r="AE234" s="405"/>
      <c r="AF234" s="405"/>
      <c r="AG234" s="405"/>
      <c r="AH234" s="405"/>
      <c r="AI234" s="405"/>
      <c r="AJ234" s="405"/>
      <c r="AK234" s="405"/>
      <c r="AL234" s="405"/>
      <c r="AM234" s="405"/>
      <c r="AN234" s="405"/>
      <c r="AO234" s="405"/>
      <c r="AP234" s="405"/>
      <c r="AQ234" s="405"/>
      <c r="AR234" s="405"/>
      <c r="AS234" s="405"/>
      <c r="AT234" s="405"/>
      <c r="AU234" s="405"/>
      <c r="AV234" s="405"/>
      <c r="AW234" s="405"/>
      <c r="AX234" s="405"/>
      <c r="AY234" s="405"/>
      <c r="AZ234" s="405"/>
      <c r="BA234" s="405"/>
      <c r="BB234" s="405"/>
      <c r="BC234" s="405"/>
      <c r="BD234" s="405"/>
      <c r="BE234" s="405"/>
      <c r="BF234" s="405"/>
      <c r="BG234" s="405"/>
      <c r="BH234" s="405"/>
      <c r="BI234" s="405"/>
      <c r="BJ234" s="405"/>
      <c r="BK234" s="405"/>
      <c r="BL234" s="405"/>
      <c r="BM234" s="405"/>
      <c r="BN234" s="405"/>
      <c r="BO234" s="405"/>
      <c r="BP234" s="405"/>
      <c r="BQ234" s="405"/>
      <c r="BR234" s="405"/>
      <c r="BS234" s="405"/>
      <c r="BT234" s="405"/>
      <c r="BU234" s="405"/>
      <c r="BV234" s="405"/>
      <c r="BW234" s="405"/>
      <c r="BX234" s="405"/>
      <c r="BY234" s="405"/>
      <c r="BZ234" s="405"/>
      <c r="CA234" s="405"/>
      <c r="CB234" s="405"/>
      <c r="CC234" s="405"/>
      <c r="CD234" s="405"/>
      <c r="CE234" s="405"/>
      <c r="CF234" s="405"/>
      <c r="CG234" s="405"/>
      <c r="CH234" s="405"/>
      <c r="CI234" s="405"/>
      <c r="CJ234" s="405"/>
      <c r="CK234" s="405"/>
      <c r="CL234" s="405"/>
      <c r="CM234" s="405"/>
      <c r="CN234" s="405"/>
      <c r="CO234" s="405"/>
      <c r="CP234" s="405"/>
      <c r="CQ234" s="405"/>
      <c r="CR234" s="405"/>
      <c r="CS234" s="405"/>
      <c r="CT234" s="405"/>
      <c r="CU234" s="405"/>
      <c r="CV234" s="405"/>
      <c r="CW234" s="405"/>
      <c r="CX234" s="405"/>
      <c r="CY234" s="405"/>
      <c r="CZ234" s="405"/>
      <c r="DA234" s="405"/>
      <c r="DB234" s="405"/>
      <c r="DC234" s="405"/>
      <c r="DD234" s="405"/>
      <c r="DE234" s="405"/>
      <c r="DF234" s="405"/>
      <c r="DG234" s="405"/>
      <c r="DH234" s="405"/>
      <c r="DI234" s="405"/>
      <c r="DJ234" s="405"/>
      <c r="DK234" s="405"/>
      <c r="DL234" s="405"/>
      <c r="DM234" s="405"/>
      <c r="DN234" s="405"/>
      <c r="DO234" s="405"/>
      <c r="DP234" s="405"/>
      <c r="DQ234" s="405"/>
      <c r="DR234" s="405"/>
      <c r="DS234" s="405"/>
      <c r="DT234" s="405"/>
      <c r="DU234" s="405"/>
      <c r="DV234" s="405"/>
      <c r="DW234" s="405"/>
      <c r="DX234" s="405"/>
      <c r="DY234" s="405"/>
      <c r="DZ234" s="405"/>
      <c r="EA234" s="405"/>
      <c r="EB234" s="405"/>
      <c r="EC234" s="405"/>
      <c r="ED234" s="405"/>
      <c r="EE234" s="405"/>
      <c r="EF234" s="405"/>
      <c r="EG234" s="405"/>
      <c r="EH234" s="405"/>
      <c r="EI234" s="405"/>
      <c r="EJ234" s="405"/>
      <c r="EK234" s="405"/>
      <c r="EL234" s="405"/>
      <c r="EM234" s="405"/>
      <c r="EN234" s="405"/>
    </row>
    <row r="235" spans="2:144" ht="15" customHeight="1" outlineLevel="1">
      <c r="B235" s="403"/>
      <c r="C235" s="403"/>
      <c r="D235" s="403"/>
      <c r="E235" s="403"/>
      <c r="F235" s="403"/>
      <c r="G235" s="403"/>
      <c r="H235" s="403"/>
      <c r="J235" s="403"/>
      <c r="U235" s="405"/>
      <c r="V235" s="405"/>
      <c r="W235" s="405"/>
      <c r="X235" s="405"/>
      <c r="Y235" s="405"/>
      <c r="Z235" s="405"/>
      <c r="AA235" s="405"/>
      <c r="AB235" s="405"/>
      <c r="AC235" s="405"/>
      <c r="AD235" s="405"/>
      <c r="AE235" s="405"/>
      <c r="AF235" s="405"/>
      <c r="AG235" s="405"/>
      <c r="AH235" s="405"/>
      <c r="AI235" s="405"/>
      <c r="AJ235" s="405"/>
      <c r="AK235" s="405"/>
      <c r="AL235" s="405"/>
      <c r="AM235" s="405"/>
      <c r="AN235" s="405"/>
      <c r="AO235" s="405"/>
      <c r="AP235" s="405"/>
      <c r="AQ235" s="405"/>
      <c r="AR235" s="405"/>
      <c r="AS235" s="405"/>
      <c r="AT235" s="405"/>
      <c r="AU235" s="405"/>
      <c r="AV235" s="405"/>
      <c r="AW235" s="405"/>
      <c r="AX235" s="405"/>
      <c r="AY235" s="405"/>
      <c r="AZ235" s="405"/>
      <c r="BA235" s="405"/>
      <c r="BB235" s="405"/>
      <c r="BC235" s="405"/>
      <c r="BD235" s="405"/>
      <c r="BE235" s="405"/>
      <c r="BF235" s="405"/>
      <c r="BG235" s="405"/>
      <c r="BH235" s="405"/>
      <c r="BI235" s="405"/>
      <c r="BJ235" s="405"/>
      <c r="BK235" s="405"/>
      <c r="BL235" s="405"/>
      <c r="BM235" s="405"/>
      <c r="BN235" s="405"/>
      <c r="BO235" s="405"/>
      <c r="BP235" s="405"/>
      <c r="BQ235" s="405"/>
      <c r="BR235" s="405"/>
      <c r="BS235" s="405"/>
      <c r="BT235" s="405"/>
      <c r="BU235" s="405"/>
      <c r="BV235" s="405"/>
      <c r="BW235" s="405"/>
      <c r="BX235" s="405"/>
      <c r="BY235" s="405"/>
      <c r="BZ235" s="405"/>
      <c r="CA235" s="405"/>
      <c r="CB235" s="405"/>
      <c r="CC235" s="405"/>
      <c r="CD235" s="405"/>
      <c r="CE235" s="405"/>
      <c r="CF235" s="405"/>
      <c r="CG235" s="405"/>
      <c r="CH235" s="405"/>
      <c r="CI235" s="405"/>
      <c r="CJ235" s="405"/>
      <c r="CK235" s="405"/>
      <c r="CL235" s="405"/>
      <c r="CM235" s="405"/>
      <c r="CN235" s="405"/>
      <c r="CO235" s="405"/>
      <c r="CP235" s="405"/>
      <c r="CQ235" s="405"/>
      <c r="CR235" s="405"/>
      <c r="CS235" s="405"/>
      <c r="CT235" s="405"/>
      <c r="CU235" s="405"/>
      <c r="CV235" s="405"/>
      <c r="CW235" s="405"/>
      <c r="CX235" s="405"/>
      <c r="CY235" s="405"/>
      <c r="CZ235" s="405"/>
      <c r="DA235" s="405"/>
      <c r="DB235" s="405"/>
      <c r="DC235" s="405"/>
      <c r="DD235" s="405"/>
      <c r="DE235" s="405"/>
      <c r="DF235" s="405"/>
      <c r="DG235" s="405"/>
      <c r="DH235" s="405"/>
      <c r="DI235" s="405"/>
      <c r="DJ235" s="405"/>
      <c r="DK235" s="405"/>
      <c r="DL235" s="405"/>
      <c r="DM235" s="405"/>
      <c r="DN235" s="405"/>
      <c r="DO235" s="405"/>
      <c r="DP235" s="405"/>
      <c r="DQ235" s="405"/>
      <c r="DR235" s="405"/>
      <c r="DS235" s="405"/>
      <c r="DT235" s="405"/>
      <c r="DU235" s="405"/>
      <c r="DV235" s="405"/>
      <c r="DW235" s="405"/>
      <c r="DX235" s="405"/>
      <c r="DY235" s="405"/>
      <c r="DZ235" s="405"/>
      <c r="EA235" s="405"/>
      <c r="EB235" s="405"/>
      <c r="EC235" s="405"/>
      <c r="ED235" s="405"/>
      <c r="EE235" s="405"/>
      <c r="EF235" s="405"/>
      <c r="EG235" s="405"/>
      <c r="EH235" s="405"/>
      <c r="EI235" s="405"/>
      <c r="EJ235" s="405"/>
      <c r="EK235" s="405"/>
      <c r="EL235" s="405"/>
      <c r="EM235" s="405"/>
      <c r="EN235" s="405"/>
    </row>
    <row r="236" spans="2:144" ht="15" customHeight="1" outlineLevel="1">
      <c r="B236" s="420" t="str">
        <f>B188</f>
        <v>Is refrigeration provided by auxiliary powered units in transport vehicles?</v>
      </c>
      <c r="C236" s="420"/>
      <c r="D236" s="420"/>
      <c r="E236" s="420"/>
      <c r="F236" s="253"/>
      <c r="G236" s="420" t="str">
        <f>G188</f>
        <v>[Selection]</v>
      </c>
      <c r="H236" s="420"/>
      <c r="J236" s="403"/>
      <c r="U236" s="405"/>
      <c r="V236" s="405"/>
      <c r="W236" s="405"/>
      <c r="X236" s="405"/>
      <c r="Y236" s="405"/>
      <c r="Z236" s="405"/>
      <c r="AA236" s="405"/>
      <c r="AB236" s="405"/>
      <c r="AC236" s="405"/>
      <c r="AD236" s="405"/>
      <c r="AE236" s="405"/>
      <c r="AF236" s="405"/>
      <c r="AG236" s="405"/>
      <c r="AH236" s="405"/>
      <c r="AI236" s="405"/>
      <c r="AJ236" s="405"/>
      <c r="AK236" s="405"/>
      <c r="AL236" s="405"/>
      <c r="AM236" s="405"/>
      <c r="AN236" s="405"/>
      <c r="AO236" s="405"/>
      <c r="AP236" s="405"/>
      <c r="AQ236" s="405"/>
      <c r="AR236" s="405"/>
      <c r="AS236" s="405"/>
      <c r="AT236" s="405"/>
      <c r="AU236" s="405"/>
      <c r="AV236" s="405"/>
      <c r="AW236" s="405"/>
      <c r="AX236" s="405"/>
      <c r="AY236" s="405"/>
      <c r="AZ236" s="405"/>
      <c r="BA236" s="405"/>
      <c r="BB236" s="405"/>
      <c r="BC236" s="405"/>
      <c r="BD236" s="405"/>
      <c r="BE236" s="405"/>
      <c r="BF236" s="405"/>
      <c r="BG236" s="405"/>
      <c r="BH236" s="405"/>
      <c r="BI236" s="405"/>
      <c r="BJ236" s="405"/>
      <c r="BK236" s="405"/>
      <c r="BL236" s="405"/>
      <c r="BM236" s="405"/>
      <c r="BN236" s="405"/>
      <c r="BO236" s="405"/>
      <c r="BP236" s="405"/>
      <c r="BQ236" s="405"/>
      <c r="BR236" s="405"/>
      <c r="BS236" s="405"/>
      <c r="BT236" s="405"/>
      <c r="BU236" s="405"/>
      <c r="BV236" s="405"/>
      <c r="BW236" s="405"/>
      <c r="BX236" s="405"/>
      <c r="BY236" s="405"/>
      <c r="BZ236" s="405"/>
      <c r="CA236" s="405"/>
      <c r="CB236" s="405"/>
      <c r="CC236" s="405"/>
      <c r="CD236" s="405"/>
      <c r="CE236" s="405"/>
      <c r="CF236" s="405"/>
      <c r="CG236" s="405"/>
      <c r="CH236" s="405"/>
      <c r="CI236" s="405"/>
      <c r="CJ236" s="405"/>
      <c r="CK236" s="405"/>
      <c r="CL236" s="405"/>
      <c r="CM236" s="405"/>
      <c r="CN236" s="405"/>
      <c r="CO236" s="405"/>
      <c r="CP236" s="405"/>
      <c r="CQ236" s="405"/>
      <c r="CR236" s="405"/>
      <c r="CS236" s="405"/>
      <c r="CT236" s="405"/>
      <c r="CU236" s="405"/>
      <c r="CV236" s="405"/>
      <c r="CW236" s="405"/>
      <c r="CX236" s="405"/>
      <c r="CY236" s="405"/>
      <c r="CZ236" s="405"/>
      <c r="DA236" s="405"/>
      <c r="DB236" s="405"/>
      <c r="DC236" s="405"/>
      <c r="DD236" s="405"/>
      <c r="DE236" s="405"/>
      <c r="DF236" s="405"/>
      <c r="DG236" s="405"/>
      <c r="DH236" s="405"/>
      <c r="DI236" s="405"/>
      <c r="DJ236" s="405"/>
      <c r="DK236" s="405"/>
      <c r="DL236" s="405"/>
      <c r="DM236" s="405"/>
      <c r="DN236" s="405"/>
      <c r="DO236" s="405"/>
      <c r="DP236" s="405"/>
      <c r="DQ236" s="405"/>
      <c r="DR236" s="405"/>
      <c r="DS236" s="405"/>
      <c r="DT236" s="405"/>
      <c r="DU236" s="405"/>
      <c r="DV236" s="405"/>
      <c r="DW236" s="405"/>
      <c r="DX236" s="405"/>
      <c r="DY236" s="405"/>
      <c r="DZ236" s="405"/>
      <c r="EA236" s="405"/>
      <c r="EB236" s="405"/>
      <c r="EC236" s="405"/>
      <c r="ED236" s="405"/>
      <c r="EE236" s="405"/>
      <c r="EF236" s="405"/>
      <c r="EG236" s="405"/>
      <c r="EH236" s="405"/>
      <c r="EI236" s="405"/>
      <c r="EJ236" s="405"/>
      <c r="EK236" s="405"/>
      <c r="EL236" s="405"/>
      <c r="EM236" s="405"/>
      <c r="EN236" s="405"/>
    </row>
    <row r="237" spans="2:144" ht="15" customHeight="1" outlineLevel="1">
      <c r="B237" s="404"/>
      <c r="C237" s="75"/>
      <c r="D237" s="76"/>
      <c r="E237" s="76"/>
      <c r="F237" s="76"/>
      <c r="G237" s="84"/>
      <c r="H237" s="76"/>
      <c r="J237" s="403"/>
      <c r="U237" s="405"/>
      <c r="V237" s="405"/>
      <c r="W237" s="405"/>
      <c r="X237" s="405"/>
      <c r="Y237" s="405"/>
      <c r="Z237" s="405"/>
      <c r="AA237" s="405"/>
      <c r="AB237" s="405"/>
      <c r="AC237" s="405"/>
      <c r="AD237" s="405"/>
      <c r="AE237" s="405"/>
      <c r="AF237" s="405"/>
      <c r="AG237" s="405"/>
      <c r="AH237" s="405"/>
      <c r="AI237" s="405"/>
      <c r="AJ237" s="405"/>
      <c r="AK237" s="405"/>
      <c r="AL237" s="405"/>
      <c r="AM237" s="405"/>
      <c r="AN237" s="405"/>
      <c r="AO237" s="405"/>
      <c r="AP237" s="405"/>
      <c r="AQ237" s="405"/>
      <c r="AR237" s="405"/>
      <c r="AS237" s="405"/>
      <c r="AT237" s="405"/>
      <c r="AU237" s="405"/>
      <c r="AV237" s="405"/>
      <c r="AW237" s="405"/>
      <c r="AX237" s="405"/>
      <c r="AY237" s="405"/>
      <c r="AZ237" s="405"/>
      <c r="BA237" s="405"/>
      <c r="BB237" s="405"/>
      <c r="BC237" s="405"/>
      <c r="BD237" s="405"/>
      <c r="BE237" s="405"/>
      <c r="BF237" s="405"/>
      <c r="BG237" s="405"/>
      <c r="BH237" s="405"/>
      <c r="BI237" s="405"/>
      <c r="BJ237" s="405"/>
      <c r="BK237" s="405"/>
      <c r="BL237" s="405"/>
      <c r="BM237" s="405"/>
      <c r="BN237" s="405"/>
      <c r="BO237" s="405"/>
      <c r="BP237" s="405"/>
      <c r="BQ237" s="405"/>
      <c r="BR237" s="405"/>
      <c r="BS237" s="405"/>
      <c r="BT237" s="405"/>
      <c r="BU237" s="405"/>
      <c r="BV237" s="405"/>
      <c r="BW237" s="405"/>
      <c r="BX237" s="405"/>
      <c r="BY237" s="405"/>
      <c r="BZ237" s="405"/>
      <c r="CA237" s="405"/>
      <c r="CB237" s="405"/>
      <c r="CC237" s="405"/>
      <c r="CD237" s="405"/>
      <c r="CE237" s="405"/>
      <c r="CF237" s="405"/>
      <c r="CG237" s="405"/>
      <c r="CH237" s="405"/>
      <c r="CI237" s="405"/>
      <c r="CJ237" s="405"/>
      <c r="CK237" s="405"/>
      <c r="CL237" s="405"/>
      <c r="CM237" s="405"/>
      <c r="CN237" s="405"/>
      <c r="CO237" s="405"/>
      <c r="CP237" s="405"/>
      <c r="CQ237" s="405"/>
      <c r="CR237" s="405"/>
      <c r="CS237" s="405"/>
      <c r="CT237" s="405"/>
      <c r="CU237" s="405"/>
      <c r="CV237" s="405"/>
      <c r="CW237" s="405"/>
      <c r="CX237" s="405"/>
      <c r="CY237" s="405"/>
      <c r="CZ237" s="405"/>
      <c r="DA237" s="405"/>
      <c r="DB237" s="405"/>
      <c r="DC237" s="405"/>
      <c r="DD237" s="405"/>
      <c r="DE237" s="405"/>
      <c r="DF237" s="405"/>
      <c r="DG237" s="405"/>
      <c r="DH237" s="405"/>
      <c r="DI237" s="405"/>
      <c r="DJ237" s="405"/>
      <c r="DK237" s="405"/>
      <c r="DL237" s="405"/>
      <c r="DM237" s="405"/>
      <c r="DN237" s="405"/>
      <c r="DO237" s="405"/>
      <c r="DP237" s="405"/>
      <c r="DQ237" s="405"/>
      <c r="DR237" s="405"/>
      <c r="DS237" s="405"/>
      <c r="DT237" s="405"/>
      <c r="DU237" s="405"/>
      <c r="DV237" s="405"/>
      <c r="DW237" s="405"/>
      <c r="DX237" s="405"/>
      <c r="DY237" s="405"/>
      <c r="DZ237" s="405"/>
      <c r="EA237" s="405"/>
      <c r="EB237" s="405"/>
      <c r="EC237" s="405"/>
      <c r="ED237" s="405"/>
      <c r="EE237" s="405"/>
      <c r="EF237" s="405"/>
      <c r="EG237" s="405"/>
      <c r="EH237" s="405"/>
      <c r="EI237" s="405"/>
      <c r="EJ237" s="405"/>
      <c r="EK237" s="405"/>
      <c r="EL237" s="405"/>
      <c r="EM237" s="405"/>
      <c r="EN237" s="405"/>
    </row>
    <row r="238" spans="2:144" ht="15" customHeight="1" outlineLevel="1">
      <c r="B238" s="449"/>
      <c r="C238" s="453" t="str">
        <f>C190</f>
        <v>Vehicle 1</v>
      </c>
      <c r="D238" s="453" t="str">
        <f>D190</f>
        <v>Vehicle 2</v>
      </c>
      <c r="E238" s="453" t="str">
        <f>E190</f>
        <v>Vehicle 3</v>
      </c>
      <c r="F238" s="453" t="str">
        <f>F190</f>
        <v>Vehicle 4</v>
      </c>
      <c r="G238" s="453" t="str">
        <f>G190</f>
        <v>Vehicle 5</v>
      </c>
      <c r="H238" s="84"/>
      <c r="J238" s="403"/>
      <c r="U238" s="405"/>
      <c r="V238" s="405"/>
      <c r="W238" s="405"/>
      <c r="X238" s="405"/>
      <c r="Y238" s="405"/>
      <c r="Z238" s="405"/>
      <c r="AA238" s="405"/>
      <c r="AB238" s="405"/>
      <c r="AC238" s="405"/>
      <c r="AD238" s="405"/>
      <c r="AE238" s="405"/>
      <c r="AF238" s="405"/>
      <c r="AG238" s="405"/>
      <c r="AH238" s="405"/>
      <c r="AI238" s="405"/>
      <c r="AJ238" s="405"/>
      <c r="AK238" s="405"/>
      <c r="AL238" s="405"/>
      <c r="AM238" s="405"/>
      <c r="AN238" s="405"/>
      <c r="AO238" s="405"/>
      <c r="AP238" s="405"/>
      <c r="AQ238" s="405"/>
      <c r="AR238" s="405"/>
      <c r="AS238" s="405"/>
      <c r="AT238" s="405"/>
      <c r="AU238" s="405"/>
      <c r="AV238" s="405"/>
      <c r="AW238" s="405"/>
      <c r="AX238" s="405"/>
      <c r="AY238" s="405"/>
      <c r="AZ238" s="405"/>
      <c r="BA238" s="405"/>
      <c r="BB238" s="405"/>
      <c r="BC238" s="405"/>
      <c r="BD238" s="405"/>
      <c r="BE238" s="405"/>
      <c r="BF238" s="405"/>
      <c r="BG238" s="405"/>
      <c r="BH238" s="405"/>
      <c r="BI238" s="405"/>
      <c r="BJ238" s="405"/>
      <c r="BK238" s="405"/>
      <c r="BL238" s="405"/>
      <c r="BM238" s="405"/>
      <c r="BN238" s="405"/>
      <c r="BO238" s="405"/>
      <c r="BP238" s="405"/>
      <c r="BQ238" s="405"/>
      <c r="BR238" s="405"/>
      <c r="BS238" s="405"/>
      <c r="BT238" s="405"/>
      <c r="BU238" s="405"/>
      <c r="BV238" s="405"/>
      <c r="BW238" s="405"/>
      <c r="BX238" s="405"/>
      <c r="BY238" s="405"/>
      <c r="BZ238" s="405"/>
      <c r="CA238" s="405"/>
      <c r="CB238" s="405"/>
      <c r="CC238" s="405"/>
      <c r="CD238" s="405"/>
      <c r="CE238" s="405"/>
      <c r="CF238" s="405"/>
      <c r="CG238" s="405"/>
      <c r="CH238" s="405"/>
      <c r="CI238" s="405"/>
      <c r="CJ238" s="405"/>
      <c r="CK238" s="405"/>
      <c r="CL238" s="405"/>
      <c r="CM238" s="405"/>
      <c r="CN238" s="405"/>
      <c r="CO238" s="405"/>
      <c r="CP238" s="405"/>
      <c r="CQ238" s="405"/>
      <c r="CR238" s="405"/>
      <c r="CS238" s="405"/>
      <c r="CT238" s="405"/>
      <c r="CU238" s="405"/>
      <c r="CV238" s="405"/>
      <c r="CW238" s="405"/>
      <c r="CX238" s="405"/>
      <c r="CY238" s="405"/>
      <c r="CZ238" s="405"/>
      <c r="DA238" s="405"/>
      <c r="DB238" s="405"/>
      <c r="DC238" s="405"/>
      <c r="DD238" s="405"/>
      <c r="DE238" s="405"/>
      <c r="DF238" s="405"/>
      <c r="DG238" s="405"/>
      <c r="DH238" s="405"/>
      <c r="DI238" s="405"/>
      <c r="DJ238" s="405"/>
      <c r="DK238" s="405"/>
      <c r="DL238" s="405"/>
      <c r="DM238" s="405"/>
      <c r="DN238" s="405"/>
      <c r="DO238" s="405"/>
      <c r="DP238" s="405"/>
      <c r="DQ238" s="405"/>
      <c r="DR238" s="405"/>
      <c r="DS238" s="405"/>
      <c r="DT238" s="405"/>
      <c r="DU238" s="405"/>
      <c r="DV238" s="405"/>
      <c r="DW238" s="405"/>
      <c r="DX238" s="405"/>
      <c r="DY238" s="405"/>
      <c r="DZ238" s="405"/>
      <c r="EA238" s="405"/>
      <c r="EB238" s="405"/>
      <c r="EC238" s="405"/>
      <c r="ED238" s="405"/>
      <c r="EE238" s="405"/>
      <c r="EF238" s="405"/>
      <c r="EG238" s="405"/>
      <c r="EH238" s="405"/>
      <c r="EI238" s="405"/>
      <c r="EJ238" s="405"/>
      <c r="EK238" s="405"/>
      <c r="EL238" s="405"/>
      <c r="EM238" s="405"/>
      <c r="EN238" s="405"/>
    </row>
    <row r="239" spans="2:144" ht="15" customHeight="1" outlineLevel="1">
      <c r="B239" s="420" t="str">
        <f>B191</f>
        <v>Type of vehicle</v>
      </c>
      <c r="C239" s="253" t="s">
        <v>249</v>
      </c>
      <c r="D239" s="253" t="s">
        <v>249</v>
      </c>
      <c r="E239" s="253" t="s">
        <v>249</v>
      </c>
      <c r="F239" s="253" t="s">
        <v>249</v>
      </c>
      <c r="G239" s="253" t="s">
        <v>249</v>
      </c>
      <c r="H239" s="420" t="str">
        <f>H191</f>
        <v>[Selection]</v>
      </c>
      <c r="J239" s="403"/>
      <c r="U239" s="405"/>
      <c r="V239" s="405"/>
      <c r="W239" s="405"/>
      <c r="X239" s="405"/>
      <c r="Y239" s="405"/>
      <c r="Z239" s="405"/>
      <c r="AA239" s="405"/>
      <c r="AB239" s="405"/>
      <c r="AC239" s="405"/>
      <c r="AD239" s="405"/>
      <c r="AE239" s="405"/>
      <c r="AF239" s="405"/>
      <c r="AG239" s="405"/>
      <c r="AH239" s="405"/>
      <c r="AI239" s="405"/>
      <c r="AJ239" s="405"/>
      <c r="AK239" s="405"/>
      <c r="AL239" s="405"/>
      <c r="AM239" s="405"/>
      <c r="AN239" s="405"/>
      <c r="AO239" s="405"/>
      <c r="AP239" s="405"/>
      <c r="AQ239" s="405"/>
      <c r="AR239" s="405"/>
      <c r="AS239" s="405"/>
      <c r="AT239" s="405"/>
      <c r="AU239" s="405"/>
      <c r="AV239" s="405"/>
      <c r="AW239" s="405"/>
      <c r="AX239" s="405"/>
      <c r="AY239" s="405"/>
      <c r="AZ239" s="405"/>
      <c r="BA239" s="405"/>
      <c r="BB239" s="405"/>
      <c r="BC239" s="405"/>
      <c r="BD239" s="405"/>
      <c r="BE239" s="405"/>
      <c r="BF239" s="405"/>
      <c r="BG239" s="405"/>
      <c r="BH239" s="405"/>
      <c r="BI239" s="405"/>
      <c r="BJ239" s="405"/>
      <c r="BK239" s="405"/>
      <c r="BL239" s="405"/>
      <c r="BM239" s="405"/>
      <c r="BN239" s="405"/>
      <c r="BO239" s="405"/>
      <c r="BP239" s="405"/>
      <c r="BQ239" s="405"/>
      <c r="BR239" s="405"/>
      <c r="BS239" s="405"/>
      <c r="BT239" s="405"/>
      <c r="BU239" s="405"/>
      <c r="BV239" s="405"/>
      <c r="BW239" s="405"/>
      <c r="BX239" s="405"/>
      <c r="BY239" s="405"/>
      <c r="BZ239" s="405"/>
      <c r="CA239" s="405"/>
      <c r="CB239" s="405"/>
      <c r="CC239" s="405"/>
      <c r="CD239" s="405"/>
      <c r="CE239" s="405"/>
      <c r="CF239" s="405"/>
      <c r="CG239" s="405"/>
      <c r="CH239" s="405"/>
      <c r="CI239" s="405"/>
      <c r="CJ239" s="405"/>
      <c r="CK239" s="405"/>
      <c r="CL239" s="405"/>
      <c r="CM239" s="405"/>
      <c r="CN239" s="405"/>
      <c r="CO239" s="405"/>
      <c r="CP239" s="405"/>
      <c r="CQ239" s="405"/>
      <c r="CR239" s="405"/>
      <c r="CS239" s="405"/>
      <c r="CT239" s="405"/>
      <c r="CU239" s="405"/>
      <c r="CV239" s="405"/>
      <c r="CW239" s="405"/>
      <c r="CX239" s="405"/>
      <c r="CY239" s="405"/>
      <c r="CZ239" s="405"/>
      <c r="DA239" s="405"/>
      <c r="DB239" s="405"/>
      <c r="DC239" s="405"/>
      <c r="DD239" s="405"/>
      <c r="DE239" s="405"/>
      <c r="DF239" s="405"/>
      <c r="DG239" s="405"/>
      <c r="DH239" s="405"/>
      <c r="DI239" s="405"/>
      <c r="DJ239" s="405"/>
      <c r="DK239" s="405"/>
      <c r="DL239" s="405"/>
      <c r="DM239" s="405"/>
      <c r="DN239" s="405"/>
      <c r="DO239" s="405"/>
      <c r="DP239" s="405"/>
      <c r="DQ239" s="405"/>
      <c r="DR239" s="405"/>
      <c r="DS239" s="405"/>
      <c r="DT239" s="405"/>
      <c r="DU239" s="405"/>
      <c r="DV239" s="405"/>
      <c r="DW239" s="405"/>
      <c r="DX239" s="405"/>
      <c r="DY239" s="405"/>
      <c r="DZ239" s="405"/>
      <c r="EA239" s="405"/>
      <c r="EB239" s="405"/>
      <c r="EC239" s="405"/>
      <c r="ED239" s="405"/>
      <c r="EE239" s="405"/>
      <c r="EF239" s="405"/>
      <c r="EG239" s="405"/>
      <c r="EH239" s="405"/>
      <c r="EI239" s="405"/>
      <c r="EJ239" s="405"/>
      <c r="EK239" s="405"/>
      <c r="EL239" s="405"/>
      <c r="EM239" s="405"/>
      <c r="EN239" s="405"/>
    </row>
    <row r="240" spans="2:144" ht="15" customHeight="1" outlineLevel="1">
      <c r="B240" s="411" t="str">
        <f>B192</f>
        <v>Distance</v>
      </c>
      <c r="C240" s="359">
        <v>0</v>
      </c>
      <c r="D240" s="359">
        <v>0</v>
      </c>
      <c r="E240" s="359">
        <v>0</v>
      </c>
      <c r="F240" s="359">
        <v>0</v>
      </c>
      <c r="G240" s="359">
        <v>0</v>
      </c>
      <c r="H240" s="411" t="str">
        <f>H192</f>
        <v>[km]</v>
      </c>
      <c r="J240" s="403"/>
      <c r="U240" s="405"/>
      <c r="V240" s="405"/>
      <c r="W240" s="405"/>
      <c r="X240" s="405"/>
      <c r="Y240" s="405"/>
      <c r="Z240" s="405"/>
      <c r="AA240" s="405"/>
      <c r="AB240" s="405"/>
      <c r="AC240" s="405"/>
      <c r="AD240" s="405"/>
      <c r="AE240" s="405"/>
      <c r="AF240" s="405"/>
      <c r="AG240" s="405"/>
      <c r="AH240" s="405"/>
      <c r="AI240" s="405"/>
      <c r="AJ240" s="405"/>
      <c r="AK240" s="405"/>
      <c r="AL240" s="405"/>
      <c r="AM240" s="405"/>
      <c r="AN240" s="405"/>
      <c r="AO240" s="405"/>
      <c r="AP240" s="405"/>
      <c r="AQ240" s="405"/>
      <c r="AR240" s="405"/>
      <c r="AS240" s="405"/>
      <c r="AT240" s="405"/>
      <c r="AU240" s="405"/>
      <c r="AV240" s="405"/>
      <c r="AW240" s="405"/>
      <c r="AX240" s="405"/>
      <c r="AY240" s="405"/>
      <c r="AZ240" s="405"/>
      <c r="BA240" s="405"/>
      <c r="BB240" s="405"/>
      <c r="BC240" s="405"/>
      <c r="BD240" s="405"/>
      <c r="BE240" s="405"/>
      <c r="BF240" s="405"/>
      <c r="BG240" s="405"/>
      <c r="BH240" s="405"/>
      <c r="BI240" s="405"/>
      <c r="BJ240" s="405"/>
      <c r="BK240" s="405"/>
      <c r="BL240" s="405"/>
      <c r="BM240" s="405"/>
      <c r="BN240" s="405"/>
      <c r="BO240" s="405"/>
      <c r="BP240" s="405"/>
      <c r="BQ240" s="405"/>
      <c r="BR240" s="405"/>
      <c r="BS240" s="405"/>
      <c r="BT240" s="405"/>
      <c r="BU240" s="405"/>
      <c r="BV240" s="405"/>
      <c r="BW240" s="405"/>
      <c r="BX240" s="405"/>
      <c r="BY240" s="405"/>
      <c r="BZ240" s="405"/>
      <c r="CA240" s="405"/>
      <c r="CB240" s="405"/>
      <c r="CC240" s="405"/>
      <c r="CD240" s="405"/>
      <c r="CE240" s="405"/>
      <c r="CF240" s="405"/>
      <c r="CG240" s="405"/>
      <c r="CH240" s="405"/>
      <c r="CI240" s="405"/>
      <c r="CJ240" s="405"/>
      <c r="CK240" s="405"/>
      <c r="CL240" s="405"/>
      <c r="CM240" s="405"/>
      <c r="CN240" s="405"/>
      <c r="CO240" s="405"/>
      <c r="CP240" s="405"/>
      <c r="CQ240" s="405"/>
      <c r="CR240" s="405"/>
      <c r="CS240" s="405"/>
      <c r="CT240" s="405"/>
      <c r="CU240" s="405"/>
      <c r="CV240" s="405"/>
      <c r="CW240" s="405"/>
      <c r="CX240" s="405"/>
      <c r="CY240" s="405"/>
      <c r="CZ240" s="405"/>
      <c r="DA240" s="405"/>
      <c r="DB240" s="405"/>
      <c r="DC240" s="405"/>
      <c r="DD240" s="405"/>
      <c r="DE240" s="405"/>
      <c r="DF240" s="405"/>
      <c r="DG240" s="405"/>
      <c r="DH240" s="405"/>
      <c r="DI240" s="405"/>
      <c r="DJ240" s="405"/>
      <c r="DK240" s="405"/>
      <c r="DL240" s="405"/>
      <c r="DM240" s="405"/>
      <c r="DN240" s="405"/>
      <c r="DO240" s="405"/>
      <c r="DP240" s="405"/>
      <c r="DQ240" s="405"/>
      <c r="DR240" s="405"/>
      <c r="DS240" s="405"/>
      <c r="DT240" s="405"/>
      <c r="DU240" s="405"/>
      <c r="DV240" s="405"/>
      <c r="DW240" s="405"/>
      <c r="DX240" s="405"/>
      <c r="DY240" s="405"/>
      <c r="DZ240" s="405"/>
      <c r="EA240" s="405"/>
      <c r="EB240" s="405"/>
      <c r="EC240" s="405"/>
      <c r="ED240" s="405"/>
      <c r="EE240" s="405"/>
      <c r="EF240" s="405"/>
      <c r="EG240" s="405"/>
      <c r="EH240" s="405"/>
      <c r="EI240" s="405"/>
      <c r="EJ240" s="405"/>
      <c r="EK240" s="405"/>
      <c r="EL240" s="405"/>
      <c r="EM240" s="405"/>
      <c r="EN240" s="405"/>
    </row>
    <row r="241" spans="2:144" ht="15" customHeight="1" outlineLevel="1">
      <c r="B241" s="420" t="str">
        <f>B193</f>
        <v>Travel time</v>
      </c>
      <c r="C241" s="359">
        <v>0</v>
      </c>
      <c r="D241" s="359">
        <v>0</v>
      </c>
      <c r="E241" s="359">
        <v>0</v>
      </c>
      <c r="F241" s="359">
        <v>0</v>
      </c>
      <c r="G241" s="359">
        <v>0</v>
      </c>
      <c r="H241" s="420" t="str">
        <f>H193</f>
        <v>[h]</v>
      </c>
      <c r="J241" s="403"/>
      <c r="U241" s="405"/>
      <c r="V241" s="405"/>
      <c r="W241" s="405"/>
      <c r="X241" s="405"/>
      <c r="Y241" s="405"/>
      <c r="Z241" s="405"/>
      <c r="AA241" s="405"/>
      <c r="AB241" s="405"/>
      <c r="AC241" s="405"/>
      <c r="AD241" s="405"/>
      <c r="AE241" s="405"/>
      <c r="AF241" s="405"/>
      <c r="AG241" s="405"/>
      <c r="AH241" s="405"/>
      <c r="AI241" s="405"/>
      <c r="AJ241" s="405"/>
      <c r="AK241" s="405"/>
      <c r="AL241" s="405"/>
      <c r="AM241" s="405"/>
      <c r="AN241" s="405"/>
      <c r="AO241" s="405"/>
      <c r="AP241" s="405"/>
      <c r="AQ241" s="405"/>
      <c r="AR241" s="405"/>
      <c r="AS241" s="405"/>
      <c r="AT241" s="405"/>
      <c r="AU241" s="405"/>
      <c r="AV241" s="405"/>
      <c r="AW241" s="405"/>
      <c r="AX241" s="405"/>
      <c r="AY241" s="405"/>
      <c r="AZ241" s="405"/>
      <c r="BA241" s="405"/>
      <c r="BB241" s="405"/>
      <c r="BC241" s="405"/>
      <c r="BD241" s="405"/>
      <c r="BE241" s="405"/>
      <c r="BF241" s="405"/>
      <c r="BG241" s="405"/>
      <c r="BH241" s="405"/>
      <c r="BI241" s="405"/>
      <c r="BJ241" s="405"/>
      <c r="BK241" s="405"/>
      <c r="BL241" s="405"/>
      <c r="BM241" s="405"/>
      <c r="BN241" s="405"/>
      <c r="BO241" s="405"/>
      <c r="BP241" s="405"/>
      <c r="BQ241" s="405"/>
      <c r="BR241" s="405"/>
      <c r="BS241" s="405"/>
      <c r="BT241" s="405"/>
      <c r="BU241" s="405"/>
      <c r="BV241" s="405"/>
      <c r="BW241" s="405"/>
      <c r="BX241" s="405"/>
      <c r="BY241" s="405"/>
      <c r="BZ241" s="405"/>
      <c r="CA241" s="405"/>
      <c r="CB241" s="405"/>
      <c r="CC241" s="405"/>
      <c r="CD241" s="405"/>
      <c r="CE241" s="405"/>
      <c r="CF241" s="405"/>
      <c r="CG241" s="405"/>
      <c r="CH241" s="405"/>
      <c r="CI241" s="405"/>
      <c r="CJ241" s="405"/>
      <c r="CK241" s="405"/>
      <c r="CL241" s="405"/>
      <c r="CM241" s="405"/>
      <c r="CN241" s="405"/>
      <c r="CO241" s="405"/>
      <c r="CP241" s="405"/>
      <c r="CQ241" s="405"/>
      <c r="CR241" s="405"/>
      <c r="CS241" s="405"/>
      <c r="CT241" s="405"/>
      <c r="CU241" s="405"/>
      <c r="CV241" s="405"/>
      <c r="CW241" s="405"/>
      <c r="CX241" s="405"/>
      <c r="CY241" s="405"/>
      <c r="CZ241" s="405"/>
      <c r="DA241" s="405"/>
      <c r="DB241" s="405"/>
      <c r="DC241" s="405"/>
      <c r="DD241" s="405"/>
      <c r="DE241" s="405"/>
      <c r="DF241" s="405"/>
      <c r="DG241" s="405"/>
      <c r="DH241" s="405"/>
      <c r="DI241" s="405"/>
      <c r="DJ241" s="405"/>
      <c r="DK241" s="405"/>
      <c r="DL241" s="405"/>
      <c r="DM241" s="405"/>
      <c r="DN241" s="405"/>
      <c r="DO241" s="405"/>
      <c r="DP241" s="405"/>
      <c r="DQ241" s="405"/>
      <c r="DR241" s="405"/>
      <c r="DS241" s="405"/>
      <c r="DT241" s="405"/>
      <c r="DU241" s="405"/>
      <c r="DV241" s="405"/>
      <c r="DW241" s="405"/>
      <c r="DX241" s="405"/>
      <c r="DY241" s="405"/>
      <c r="DZ241" s="405"/>
      <c r="EA241" s="405"/>
      <c r="EB241" s="405"/>
      <c r="EC241" s="405"/>
      <c r="ED241" s="405"/>
      <c r="EE241" s="405"/>
      <c r="EF241" s="405"/>
      <c r="EG241" s="405"/>
      <c r="EH241" s="405"/>
      <c r="EI241" s="405"/>
      <c r="EJ241" s="405"/>
      <c r="EK241" s="405"/>
      <c r="EL241" s="405"/>
      <c r="EM241" s="405"/>
      <c r="EN241" s="405"/>
    </row>
    <row r="242" spans="2:144" ht="15" customHeight="1" outlineLevel="1">
      <c r="B242" s="420" t="str">
        <f>B194</f>
        <v>Amount of transported raw material</v>
      </c>
      <c r="C242" s="359">
        <v>0</v>
      </c>
      <c r="D242" s="359">
        <v>0</v>
      </c>
      <c r="E242" s="359">
        <v>0</v>
      </c>
      <c r="F242" s="359">
        <v>0</v>
      </c>
      <c r="G242" s="454">
        <f>F91-SUM(C242:F242)</f>
        <v>0</v>
      </c>
      <c r="H242" s="420" t="str">
        <f>H194</f>
        <v>[kg]</v>
      </c>
      <c r="J242" s="403"/>
      <c r="U242" s="405"/>
      <c r="V242" s="405"/>
      <c r="W242" s="405"/>
      <c r="X242" s="405"/>
      <c r="Y242" s="405"/>
      <c r="Z242" s="405"/>
      <c r="AA242" s="405"/>
      <c r="AB242" s="405"/>
      <c r="AC242" s="405"/>
      <c r="AD242" s="405"/>
      <c r="AE242" s="405"/>
      <c r="AF242" s="405"/>
      <c r="AG242" s="405"/>
      <c r="AH242" s="405"/>
      <c r="AI242" s="405"/>
      <c r="AJ242" s="405"/>
      <c r="AK242" s="405"/>
      <c r="AL242" s="405"/>
      <c r="AM242" s="405"/>
      <c r="AN242" s="405"/>
      <c r="AO242" s="405"/>
      <c r="AP242" s="405"/>
      <c r="AQ242" s="405"/>
      <c r="AR242" s="405"/>
      <c r="AS242" s="405"/>
      <c r="AT242" s="405"/>
      <c r="AU242" s="405"/>
      <c r="AV242" s="405"/>
      <c r="AW242" s="405"/>
      <c r="AX242" s="405"/>
      <c r="AY242" s="405"/>
      <c r="AZ242" s="405"/>
      <c r="BA242" s="405"/>
      <c r="BB242" s="405"/>
      <c r="BC242" s="405"/>
      <c r="BD242" s="405"/>
      <c r="BE242" s="405"/>
      <c r="BF242" s="405"/>
      <c r="BG242" s="405"/>
      <c r="BH242" s="405"/>
      <c r="BI242" s="405"/>
      <c r="BJ242" s="405"/>
      <c r="BK242" s="405"/>
      <c r="BL242" s="405"/>
      <c r="BM242" s="405"/>
      <c r="BN242" s="405"/>
      <c r="BO242" s="405"/>
      <c r="BP242" s="405"/>
      <c r="BQ242" s="405"/>
      <c r="BR242" s="405"/>
      <c r="BS242" s="405"/>
      <c r="BT242" s="405"/>
      <c r="BU242" s="405"/>
      <c r="BV242" s="405"/>
      <c r="BW242" s="405"/>
      <c r="BX242" s="405"/>
      <c r="BY242" s="405"/>
      <c r="BZ242" s="405"/>
      <c r="CA242" s="405"/>
      <c r="CB242" s="405"/>
      <c r="CC242" s="405"/>
      <c r="CD242" s="405"/>
      <c r="CE242" s="405"/>
      <c r="CF242" s="405"/>
      <c r="CG242" s="405"/>
      <c r="CH242" s="405"/>
      <c r="CI242" s="405"/>
      <c r="CJ242" s="405"/>
      <c r="CK242" s="405"/>
      <c r="CL242" s="405"/>
      <c r="CM242" s="405"/>
      <c r="CN242" s="405"/>
      <c r="CO242" s="405"/>
      <c r="CP242" s="405"/>
      <c r="CQ242" s="405"/>
      <c r="CR242" s="405"/>
      <c r="CS242" s="405"/>
      <c r="CT242" s="405"/>
      <c r="CU242" s="405"/>
      <c r="CV242" s="405"/>
      <c r="CW242" s="405"/>
      <c r="CX242" s="405"/>
      <c r="CY242" s="405"/>
      <c r="CZ242" s="405"/>
      <c r="DA242" s="405"/>
      <c r="DB242" s="405"/>
      <c r="DC242" s="405"/>
      <c r="DD242" s="405"/>
      <c r="DE242" s="405"/>
      <c r="DF242" s="405"/>
      <c r="DG242" s="405"/>
      <c r="DH242" s="405"/>
      <c r="DI242" s="405"/>
      <c r="DJ242" s="405"/>
      <c r="DK242" s="405"/>
      <c r="DL242" s="405"/>
      <c r="DM242" s="405"/>
      <c r="DN242" s="405"/>
      <c r="DO242" s="405"/>
      <c r="DP242" s="405"/>
      <c r="DQ242" s="405"/>
      <c r="DR242" s="405"/>
      <c r="DS242" s="405"/>
      <c r="DT242" s="405"/>
      <c r="DU242" s="405"/>
      <c r="DV242" s="405"/>
      <c r="DW242" s="405"/>
      <c r="DX242" s="405"/>
      <c r="DY242" s="405"/>
      <c r="DZ242" s="405"/>
      <c r="EA242" s="405"/>
      <c r="EB242" s="405"/>
      <c r="EC242" s="405"/>
      <c r="ED242" s="405"/>
      <c r="EE242" s="405"/>
      <c r="EF242" s="405"/>
      <c r="EG242" s="405"/>
      <c r="EH242" s="405"/>
      <c r="EI242" s="405"/>
      <c r="EJ242" s="405"/>
      <c r="EK242" s="405"/>
      <c r="EL242" s="405"/>
      <c r="EM242" s="405"/>
      <c r="EN242" s="405"/>
    </row>
    <row r="243" spans="2:144" ht="15" customHeight="1" outlineLevel="1">
      <c r="B243" s="403"/>
      <c r="C243" s="403"/>
      <c r="D243" s="403"/>
      <c r="E243" s="403"/>
      <c r="F243" s="403"/>
      <c r="G243" s="403"/>
      <c r="H243" s="403"/>
      <c r="J243" s="403"/>
      <c r="U243" s="405"/>
      <c r="V243" s="405"/>
      <c r="W243" s="405"/>
      <c r="X243" s="405"/>
      <c r="Y243" s="405"/>
      <c r="Z243" s="405"/>
      <c r="AA243" s="405"/>
      <c r="AB243" s="405"/>
      <c r="AC243" s="405"/>
      <c r="AD243" s="405"/>
      <c r="AE243" s="405"/>
      <c r="AF243" s="405"/>
      <c r="AG243" s="405"/>
      <c r="AH243" s="405"/>
      <c r="AI243" s="405"/>
      <c r="AJ243" s="405"/>
      <c r="AK243" s="405"/>
      <c r="AL243" s="405"/>
      <c r="AM243" s="405"/>
      <c r="AN243" s="405"/>
      <c r="AO243" s="405"/>
      <c r="AP243" s="405"/>
      <c r="AQ243" s="405"/>
      <c r="AR243" s="405"/>
      <c r="AS243" s="405"/>
      <c r="AT243" s="405"/>
      <c r="AU243" s="405"/>
      <c r="AV243" s="405"/>
      <c r="AW243" s="405"/>
      <c r="AX243" s="405"/>
      <c r="AY243" s="405"/>
      <c r="AZ243" s="405"/>
      <c r="BA243" s="405"/>
      <c r="BB243" s="405"/>
      <c r="BC243" s="405"/>
      <c r="BD243" s="405"/>
      <c r="BE243" s="405"/>
      <c r="BF243" s="405"/>
      <c r="BG243" s="405"/>
      <c r="BH243" s="405"/>
      <c r="BI243" s="405"/>
      <c r="BJ243" s="405"/>
      <c r="BK243" s="405"/>
      <c r="BL243" s="405"/>
      <c r="BM243" s="405"/>
      <c r="BN243" s="405"/>
      <c r="BO243" s="405"/>
      <c r="BP243" s="405"/>
      <c r="BQ243" s="405"/>
      <c r="BR243" s="405"/>
      <c r="BS243" s="405"/>
      <c r="BT243" s="405"/>
      <c r="BU243" s="405"/>
      <c r="BV243" s="405"/>
      <c r="BW243" s="405"/>
      <c r="BX243" s="405"/>
      <c r="BY243" s="405"/>
      <c r="BZ243" s="405"/>
      <c r="CA243" s="405"/>
      <c r="CB243" s="405"/>
      <c r="CC243" s="405"/>
      <c r="CD243" s="405"/>
      <c r="CE243" s="405"/>
      <c r="CF243" s="405"/>
      <c r="CG243" s="405"/>
      <c r="CH243" s="405"/>
      <c r="CI243" s="405"/>
      <c r="CJ243" s="405"/>
      <c r="CK243" s="405"/>
      <c r="CL243" s="405"/>
      <c r="CM243" s="405"/>
      <c r="CN243" s="405"/>
      <c r="CO243" s="405"/>
      <c r="CP243" s="405"/>
      <c r="CQ243" s="405"/>
      <c r="CR243" s="405"/>
      <c r="CS243" s="405"/>
      <c r="CT243" s="405"/>
      <c r="CU243" s="405"/>
      <c r="CV243" s="405"/>
      <c r="CW243" s="405"/>
      <c r="CX243" s="405"/>
      <c r="CY243" s="405"/>
      <c r="CZ243" s="405"/>
      <c r="DA243" s="405"/>
      <c r="DB243" s="405"/>
      <c r="DC243" s="405"/>
      <c r="DD243" s="405"/>
      <c r="DE243" s="405"/>
      <c r="DF243" s="405"/>
      <c r="DG243" s="405"/>
      <c r="DH243" s="405"/>
      <c r="DI243" s="405"/>
      <c r="DJ243" s="405"/>
      <c r="DK243" s="405"/>
      <c r="DL243" s="405"/>
      <c r="DM243" s="405"/>
      <c r="DN243" s="405"/>
      <c r="DO243" s="405"/>
      <c r="DP243" s="405"/>
      <c r="DQ243" s="405"/>
      <c r="DR243" s="405"/>
      <c r="DS243" s="405"/>
      <c r="DT243" s="405"/>
      <c r="DU243" s="405"/>
      <c r="DV243" s="405"/>
      <c r="DW243" s="405"/>
      <c r="DX243" s="405"/>
      <c r="DY243" s="405"/>
      <c r="DZ243" s="405"/>
      <c r="EA243" s="405"/>
      <c r="EB243" s="405"/>
      <c r="EC243" s="405"/>
      <c r="ED243" s="405"/>
      <c r="EE243" s="405"/>
      <c r="EF243" s="405"/>
      <c r="EG243" s="405"/>
      <c r="EH243" s="405"/>
      <c r="EI243" s="405"/>
      <c r="EJ243" s="405"/>
      <c r="EK243" s="405"/>
      <c r="EL243" s="405"/>
      <c r="EM243" s="405"/>
      <c r="EN243" s="405"/>
    </row>
    <row r="244" spans="2:144" ht="15" customHeight="1" outlineLevel="1">
      <c r="B244" s="472" t="str">
        <f>B196</f>
        <v xml:space="preserve">Filling in these cells is only required if auxliariy powered units are used: </v>
      </c>
      <c r="C244" s="80"/>
      <c r="D244" s="404"/>
      <c r="E244" s="404"/>
      <c r="F244" s="413"/>
      <c r="G244" s="413"/>
      <c r="H244" s="403"/>
      <c r="J244" s="403"/>
      <c r="U244" s="405"/>
      <c r="V244" s="405"/>
      <c r="W244" s="405"/>
      <c r="X244" s="405"/>
      <c r="Y244" s="405"/>
      <c r="Z244" s="405"/>
      <c r="AA244" s="405"/>
      <c r="AB244" s="405"/>
      <c r="AC244" s="405"/>
      <c r="AD244" s="405"/>
      <c r="AE244" s="405"/>
      <c r="AF244" s="405"/>
      <c r="AG244" s="405"/>
      <c r="AH244" s="405"/>
      <c r="AI244" s="405"/>
      <c r="AJ244" s="405"/>
      <c r="AK244" s="405"/>
      <c r="AL244" s="405"/>
      <c r="AM244" s="405"/>
      <c r="AN244" s="405"/>
      <c r="AO244" s="405"/>
      <c r="AP244" s="405"/>
      <c r="AQ244" s="405"/>
      <c r="AR244" s="405"/>
      <c r="AS244" s="405"/>
      <c r="AT244" s="405"/>
      <c r="AU244" s="405"/>
      <c r="AV244" s="405"/>
      <c r="AW244" s="405"/>
      <c r="AX244" s="405"/>
      <c r="AY244" s="405"/>
      <c r="AZ244" s="405"/>
      <c r="BA244" s="405"/>
      <c r="BB244" s="405"/>
      <c r="BC244" s="405"/>
      <c r="BD244" s="405"/>
      <c r="BE244" s="405"/>
      <c r="BF244" s="405"/>
      <c r="BG244" s="405"/>
      <c r="BH244" s="405"/>
      <c r="BI244" s="405"/>
      <c r="BJ244" s="405"/>
      <c r="BK244" s="405"/>
      <c r="BL244" s="405"/>
      <c r="BM244" s="405"/>
      <c r="BN244" s="405"/>
      <c r="BO244" s="405"/>
      <c r="BP244" s="405"/>
      <c r="BQ244" s="405"/>
      <c r="BR244" s="405"/>
      <c r="BS244" s="405"/>
      <c r="BT244" s="405"/>
      <c r="BU244" s="405"/>
      <c r="BV244" s="405"/>
      <c r="BW244" s="405"/>
      <c r="BX244" s="405"/>
      <c r="BY244" s="405"/>
      <c r="BZ244" s="405"/>
      <c r="CA244" s="405"/>
      <c r="CB244" s="405"/>
      <c r="CC244" s="405"/>
      <c r="CD244" s="405"/>
      <c r="CE244" s="405"/>
      <c r="CF244" s="405"/>
      <c r="CG244" s="405"/>
      <c r="CH244" s="405"/>
      <c r="CI244" s="405"/>
      <c r="CJ244" s="405"/>
      <c r="CK244" s="405"/>
      <c r="CL244" s="405"/>
      <c r="CM244" s="405"/>
      <c r="CN244" s="405"/>
      <c r="CO244" s="405"/>
      <c r="CP244" s="405"/>
      <c r="CQ244" s="405"/>
      <c r="CR244" s="405"/>
      <c r="CS244" s="405"/>
      <c r="CT244" s="405"/>
      <c r="CU244" s="405"/>
      <c r="CV244" s="405"/>
      <c r="CW244" s="405"/>
      <c r="CX244" s="405"/>
      <c r="CY244" s="405"/>
      <c r="CZ244" s="405"/>
      <c r="DA244" s="405"/>
      <c r="DB244" s="405"/>
      <c r="DC244" s="405"/>
      <c r="DD244" s="405"/>
      <c r="DE244" s="405"/>
      <c r="DF244" s="405"/>
      <c r="DG244" s="405"/>
      <c r="DH244" s="405"/>
      <c r="DI244" s="405"/>
      <c r="DJ244" s="405"/>
      <c r="DK244" s="405"/>
      <c r="DL244" s="405"/>
      <c r="DM244" s="405"/>
      <c r="DN244" s="405"/>
      <c r="DO244" s="405"/>
      <c r="DP244" s="405"/>
      <c r="DQ244" s="405"/>
      <c r="DR244" s="405"/>
      <c r="DS244" s="405"/>
      <c r="DT244" s="405"/>
      <c r="DU244" s="405"/>
      <c r="DV244" s="405"/>
      <c r="DW244" s="405"/>
      <c r="DX244" s="405"/>
      <c r="DY244" s="405"/>
      <c r="DZ244" s="405"/>
      <c r="EA244" s="405"/>
      <c r="EB244" s="405"/>
      <c r="EC244" s="405"/>
      <c r="ED244" s="405"/>
      <c r="EE244" s="405"/>
      <c r="EF244" s="405"/>
      <c r="EG244" s="405"/>
      <c r="EH244" s="405"/>
      <c r="EI244" s="405"/>
      <c r="EJ244" s="405"/>
      <c r="EK244" s="405"/>
      <c r="EL244" s="405"/>
      <c r="EM244" s="405"/>
      <c r="EN244" s="405"/>
    </row>
    <row r="245" spans="2:144" ht="15" customHeight="1" outlineLevel="1">
      <c r="C245" s="456" t="str">
        <f>C197</f>
        <v>Vehicle 1</v>
      </c>
      <c r="D245" s="456" t="str">
        <f>D197</f>
        <v>Vehicle 2</v>
      </c>
      <c r="E245" s="456" t="str">
        <f>E197</f>
        <v>Vehicle 3</v>
      </c>
      <c r="F245" s="456" t="str">
        <f>F197</f>
        <v>Vehicle 4</v>
      </c>
      <c r="G245" s="456" t="str">
        <f>G197</f>
        <v>Vehicle 5</v>
      </c>
      <c r="H245" s="76"/>
      <c r="J245" s="403"/>
      <c r="U245" s="405"/>
      <c r="V245" s="405"/>
      <c r="W245" s="405"/>
      <c r="X245" s="405"/>
      <c r="Y245" s="405"/>
      <c r="Z245" s="405"/>
      <c r="AA245" s="405"/>
      <c r="AB245" s="405"/>
      <c r="AC245" s="405"/>
      <c r="AD245" s="405"/>
      <c r="AE245" s="405"/>
      <c r="AF245" s="405"/>
      <c r="AG245" s="405"/>
      <c r="AH245" s="405"/>
      <c r="AI245" s="405"/>
      <c r="AJ245" s="405"/>
      <c r="AK245" s="405"/>
      <c r="AL245" s="405"/>
      <c r="AM245" s="405"/>
      <c r="AN245" s="405"/>
      <c r="AO245" s="405"/>
      <c r="AP245" s="405"/>
      <c r="AQ245" s="405"/>
      <c r="AR245" s="405"/>
      <c r="AS245" s="405"/>
      <c r="AT245" s="405"/>
      <c r="AU245" s="405"/>
      <c r="AV245" s="405"/>
      <c r="AW245" s="405"/>
      <c r="AX245" s="405"/>
      <c r="AY245" s="405"/>
      <c r="AZ245" s="405"/>
      <c r="BA245" s="405"/>
      <c r="BB245" s="405"/>
      <c r="BC245" s="405"/>
      <c r="BD245" s="405"/>
      <c r="BE245" s="405"/>
      <c r="BF245" s="405"/>
      <c r="BG245" s="405"/>
      <c r="BH245" s="405"/>
      <c r="BI245" s="405"/>
      <c r="BJ245" s="405"/>
      <c r="BK245" s="405"/>
      <c r="BL245" s="405"/>
      <c r="BM245" s="405"/>
      <c r="BN245" s="405"/>
      <c r="BO245" s="405"/>
      <c r="BP245" s="405"/>
      <c r="BQ245" s="405"/>
      <c r="BR245" s="405"/>
      <c r="BS245" s="405"/>
      <c r="BT245" s="405"/>
      <c r="BU245" s="405"/>
      <c r="BV245" s="405"/>
      <c r="BW245" s="405"/>
      <c r="BX245" s="405"/>
      <c r="BY245" s="405"/>
      <c r="BZ245" s="405"/>
      <c r="CA245" s="405"/>
      <c r="CB245" s="405"/>
      <c r="CC245" s="405"/>
      <c r="CD245" s="405"/>
      <c r="CE245" s="405"/>
      <c r="CF245" s="405"/>
      <c r="CG245" s="405"/>
      <c r="CH245" s="405"/>
      <c r="CI245" s="405"/>
      <c r="CJ245" s="405"/>
      <c r="CK245" s="405"/>
      <c r="CL245" s="405"/>
      <c r="CM245" s="405"/>
      <c r="CN245" s="405"/>
      <c r="CO245" s="405"/>
      <c r="CP245" s="405"/>
      <c r="CQ245" s="405"/>
      <c r="CR245" s="405"/>
      <c r="CS245" s="405"/>
      <c r="CT245" s="405"/>
      <c r="CU245" s="405"/>
      <c r="CV245" s="405"/>
      <c r="CW245" s="405"/>
      <c r="CX245" s="405"/>
      <c r="CY245" s="405"/>
      <c r="CZ245" s="405"/>
      <c r="DA245" s="405"/>
      <c r="DB245" s="405"/>
      <c r="DC245" s="405"/>
      <c r="DD245" s="405"/>
      <c r="DE245" s="405"/>
      <c r="DF245" s="405"/>
      <c r="DG245" s="405"/>
      <c r="DH245" s="405"/>
      <c r="DI245" s="405"/>
      <c r="DJ245" s="405"/>
      <c r="DK245" s="405"/>
      <c r="DL245" s="405"/>
      <c r="DM245" s="405"/>
      <c r="DN245" s="405"/>
      <c r="DO245" s="405"/>
      <c r="DP245" s="405"/>
      <c r="DQ245" s="405"/>
      <c r="DR245" s="405"/>
      <c r="DS245" s="405"/>
      <c r="DT245" s="405"/>
      <c r="DU245" s="405"/>
      <c r="DV245" s="405"/>
      <c r="DW245" s="405"/>
      <c r="DX245" s="405"/>
      <c r="DY245" s="405"/>
      <c r="DZ245" s="405"/>
      <c r="EA245" s="405"/>
      <c r="EB245" s="405"/>
      <c r="EC245" s="405"/>
      <c r="ED245" s="405"/>
      <c r="EE245" s="405"/>
      <c r="EF245" s="405"/>
      <c r="EG245" s="405"/>
      <c r="EH245" s="405"/>
      <c r="EI245" s="405"/>
      <c r="EJ245" s="405"/>
      <c r="EK245" s="405"/>
      <c r="EL245" s="405"/>
      <c r="EM245" s="405"/>
      <c r="EN245" s="405"/>
    </row>
    <row r="246" spans="2:144" ht="15" customHeight="1" outlineLevel="1">
      <c r="B246" s="411" t="str">
        <f>B198</f>
        <v xml:space="preserve">Refrigerant </v>
      </c>
      <c r="C246" s="253" t="s">
        <v>249</v>
      </c>
      <c r="D246" s="253" t="s">
        <v>249</v>
      </c>
      <c r="E246" s="253" t="s">
        <v>249</v>
      </c>
      <c r="F246" s="253" t="s">
        <v>249</v>
      </c>
      <c r="G246" s="253" t="s">
        <v>249</v>
      </c>
      <c r="H246" s="411" t="str">
        <f>H198</f>
        <v>[Selection]</v>
      </c>
      <c r="J246" s="403"/>
      <c r="U246" s="405"/>
      <c r="V246" s="405"/>
      <c r="W246" s="405"/>
      <c r="X246" s="405"/>
      <c r="Y246" s="405"/>
      <c r="Z246" s="405"/>
      <c r="AA246" s="405"/>
      <c r="AB246" s="405"/>
      <c r="AC246" s="405"/>
      <c r="AD246" s="405"/>
      <c r="AE246" s="405"/>
      <c r="AF246" s="405"/>
      <c r="AG246" s="405"/>
      <c r="AH246" s="405"/>
      <c r="AI246" s="405"/>
      <c r="AJ246" s="405"/>
      <c r="AK246" s="405"/>
      <c r="AL246" s="405"/>
      <c r="AM246" s="405"/>
      <c r="AN246" s="405"/>
      <c r="AO246" s="405"/>
      <c r="AP246" s="405"/>
      <c r="AQ246" s="405"/>
      <c r="AR246" s="405"/>
      <c r="AS246" s="405"/>
      <c r="AT246" s="405"/>
      <c r="AU246" s="405"/>
      <c r="AV246" s="405"/>
      <c r="AW246" s="405"/>
      <c r="AX246" s="405"/>
      <c r="AY246" s="405"/>
      <c r="AZ246" s="405"/>
      <c r="BA246" s="405"/>
      <c r="BB246" s="405"/>
      <c r="BC246" s="405"/>
      <c r="BD246" s="405"/>
      <c r="BE246" s="405"/>
      <c r="BF246" s="405"/>
      <c r="BG246" s="405"/>
      <c r="BH246" s="405"/>
      <c r="BI246" s="405"/>
      <c r="BJ246" s="405"/>
      <c r="BK246" s="405"/>
      <c r="BL246" s="405"/>
      <c r="BM246" s="405"/>
      <c r="BN246" s="405"/>
      <c r="BO246" s="405"/>
      <c r="BP246" s="405"/>
      <c r="BQ246" s="405"/>
      <c r="BR246" s="405"/>
      <c r="BS246" s="405"/>
      <c r="BT246" s="405"/>
      <c r="BU246" s="405"/>
      <c r="BV246" s="405"/>
      <c r="BW246" s="405"/>
      <c r="BX246" s="405"/>
      <c r="BY246" s="405"/>
      <c r="BZ246" s="405"/>
      <c r="CA246" s="405"/>
      <c r="CB246" s="405"/>
      <c r="CC246" s="405"/>
      <c r="CD246" s="405"/>
      <c r="CE246" s="405"/>
      <c r="CF246" s="405"/>
      <c r="CG246" s="405"/>
      <c r="CH246" s="405"/>
      <c r="CI246" s="405"/>
      <c r="CJ246" s="405"/>
      <c r="CK246" s="405"/>
      <c r="CL246" s="405"/>
      <c r="CM246" s="405"/>
      <c r="CN246" s="405"/>
      <c r="CO246" s="405"/>
      <c r="CP246" s="405"/>
      <c r="CQ246" s="405"/>
      <c r="CR246" s="405"/>
      <c r="CS246" s="405"/>
      <c r="CT246" s="405"/>
      <c r="CU246" s="405"/>
      <c r="CV246" s="405"/>
      <c r="CW246" s="405"/>
      <c r="CX246" s="405"/>
      <c r="CY246" s="405"/>
      <c r="CZ246" s="405"/>
      <c r="DA246" s="405"/>
      <c r="DB246" s="405"/>
      <c r="DC246" s="405"/>
      <c r="DD246" s="405"/>
      <c r="DE246" s="405"/>
      <c r="DF246" s="405"/>
      <c r="DG246" s="405"/>
      <c r="DH246" s="405"/>
      <c r="DI246" s="405"/>
      <c r="DJ246" s="405"/>
      <c r="DK246" s="405"/>
      <c r="DL246" s="405"/>
      <c r="DM246" s="405"/>
      <c r="DN246" s="405"/>
      <c r="DO246" s="405"/>
      <c r="DP246" s="405"/>
      <c r="DQ246" s="405"/>
      <c r="DR246" s="405"/>
      <c r="DS246" s="405"/>
      <c r="DT246" s="405"/>
      <c r="DU246" s="405"/>
      <c r="DV246" s="405"/>
      <c r="DW246" s="405"/>
      <c r="DX246" s="405"/>
      <c r="DY246" s="405"/>
      <c r="DZ246" s="405"/>
      <c r="EA246" s="405"/>
      <c r="EB246" s="405"/>
      <c r="EC246" s="405"/>
      <c r="ED246" s="405"/>
      <c r="EE246" s="405"/>
      <c r="EF246" s="405"/>
      <c r="EG246" s="405"/>
      <c r="EH246" s="405"/>
      <c r="EI246" s="405"/>
      <c r="EJ246" s="405"/>
      <c r="EK246" s="405"/>
      <c r="EL246" s="405"/>
      <c r="EM246" s="405"/>
      <c r="EN246" s="405"/>
    </row>
    <row r="247" spans="2:144" ht="15" customHeight="1" outlineLevel="1">
      <c r="B247" s="411" t="str">
        <f>B199</f>
        <v>Annual initial refrigerant precharge</v>
      </c>
      <c r="C247" s="359">
        <v>0</v>
      </c>
      <c r="D247" s="359">
        <v>0</v>
      </c>
      <c r="E247" s="359">
        <v>0</v>
      </c>
      <c r="F247" s="359">
        <v>0</v>
      </c>
      <c r="G247" s="359">
        <v>0</v>
      </c>
      <c r="H247" s="411" t="str">
        <f>H199</f>
        <v>[kg]</v>
      </c>
      <c r="J247" s="403"/>
      <c r="U247" s="405"/>
      <c r="V247" s="405"/>
      <c r="W247" s="405"/>
      <c r="X247" s="405"/>
      <c r="Y247" s="405"/>
      <c r="Z247" s="405"/>
      <c r="AA247" s="405"/>
      <c r="AB247" s="405"/>
      <c r="AC247" s="405"/>
      <c r="AD247" s="405"/>
      <c r="AE247" s="405"/>
      <c r="AF247" s="405"/>
      <c r="AG247" s="405"/>
      <c r="AH247" s="405"/>
      <c r="AI247" s="405"/>
      <c r="AJ247" s="405"/>
      <c r="AK247" s="405"/>
      <c r="AL247" s="405"/>
      <c r="AM247" s="405"/>
      <c r="AN247" s="405"/>
      <c r="AO247" s="405"/>
      <c r="AP247" s="405"/>
      <c r="AQ247" s="405"/>
      <c r="AR247" s="405"/>
      <c r="AS247" s="405"/>
      <c r="AT247" s="405"/>
      <c r="AU247" s="405"/>
      <c r="AV247" s="405"/>
      <c r="AW247" s="405"/>
      <c r="AX247" s="405"/>
      <c r="AY247" s="405"/>
      <c r="AZ247" s="405"/>
      <c r="BA247" s="405"/>
      <c r="BB247" s="405"/>
      <c r="BC247" s="405"/>
      <c r="BD247" s="405"/>
      <c r="BE247" s="405"/>
      <c r="BF247" s="405"/>
      <c r="BG247" s="405"/>
      <c r="BH247" s="405"/>
      <c r="BI247" s="405"/>
      <c r="BJ247" s="405"/>
      <c r="BK247" s="405"/>
      <c r="BL247" s="405"/>
      <c r="BM247" s="405"/>
      <c r="BN247" s="405"/>
      <c r="BO247" s="405"/>
      <c r="BP247" s="405"/>
      <c r="BQ247" s="405"/>
      <c r="BR247" s="405"/>
      <c r="BS247" s="405"/>
      <c r="BT247" s="405"/>
      <c r="BU247" s="405"/>
      <c r="BV247" s="405"/>
      <c r="BW247" s="405"/>
      <c r="BX247" s="405"/>
      <c r="BY247" s="405"/>
      <c r="BZ247" s="405"/>
      <c r="CA247" s="405"/>
      <c r="CB247" s="405"/>
      <c r="CC247" s="405"/>
      <c r="CD247" s="405"/>
      <c r="CE247" s="405"/>
      <c r="CF247" s="405"/>
      <c r="CG247" s="405"/>
      <c r="CH247" s="405"/>
      <c r="CI247" s="405"/>
      <c r="CJ247" s="405"/>
      <c r="CK247" s="405"/>
      <c r="CL247" s="405"/>
      <c r="CM247" s="405"/>
      <c r="CN247" s="405"/>
      <c r="CO247" s="405"/>
      <c r="CP247" s="405"/>
      <c r="CQ247" s="405"/>
      <c r="CR247" s="405"/>
      <c r="CS247" s="405"/>
      <c r="CT247" s="405"/>
      <c r="CU247" s="405"/>
      <c r="CV247" s="405"/>
      <c r="CW247" s="405"/>
      <c r="CX247" s="405"/>
      <c r="CY247" s="405"/>
      <c r="CZ247" s="405"/>
      <c r="DA247" s="405"/>
      <c r="DB247" s="405"/>
      <c r="DC247" s="405"/>
      <c r="DD247" s="405"/>
      <c r="DE247" s="405"/>
      <c r="DF247" s="405"/>
      <c r="DG247" s="405"/>
      <c r="DH247" s="405"/>
      <c r="DI247" s="405"/>
      <c r="DJ247" s="405"/>
      <c r="DK247" s="405"/>
      <c r="DL247" s="405"/>
      <c r="DM247" s="405"/>
      <c r="DN247" s="405"/>
      <c r="DO247" s="405"/>
      <c r="DP247" s="405"/>
      <c r="DQ247" s="405"/>
      <c r="DR247" s="405"/>
      <c r="DS247" s="405"/>
      <c r="DT247" s="405"/>
      <c r="DU247" s="405"/>
      <c r="DV247" s="405"/>
      <c r="DW247" s="405"/>
      <c r="DX247" s="405"/>
      <c r="DY247" s="405"/>
      <c r="DZ247" s="405"/>
      <c r="EA247" s="405"/>
      <c r="EB247" s="405"/>
      <c r="EC247" s="405"/>
      <c r="ED247" s="405"/>
      <c r="EE247" s="405"/>
      <c r="EF247" s="405"/>
      <c r="EG247" s="405"/>
      <c r="EH247" s="405"/>
      <c r="EI247" s="405"/>
      <c r="EJ247" s="405"/>
      <c r="EK247" s="405"/>
      <c r="EL247" s="405"/>
      <c r="EM247" s="405"/>
      <c r="EN247" s="405"/>
    </row>
    <row r="248" spans="2:144" ht="15" customHeight="1" outlineLevel="1">
      <c r="B248" s="420" t="str">
        <f>B200</f>
        <v>Electrical consumption of auxiliary units</v>
      </c>
      <c r="C248" s="359">
        <v>0</v>
      </c>
      <c r="D248" s="359">
        <v>0</v>
      </c>
      <c r="E248" s="359">
        <v>0</v>
      </c>
      <c r="F248" s="359">
        <v>0</v>
      </c>
      <c r="G248" s="359">
        <v>0</v>
      </c>
      <c r="H248" s="420" t="str">
        <f>H200</f>
        <v>[kWh]</v>
      </c>
      <c r="J248" s="403"/>
      <c r="U248" s="405"/>
      <c r="V248" s="405"/>
      <c r="W248" s="405"/>
      <c r="X248" s="405"/>
      <c r="Y248" s="405"/>
      <c r="Z248" s="405"/>
      <c r="AA248" s="405"/>
      <c r="AB248" s="405"/>
      <c r="AC248" s="405"/>
      <c r="AD248" s="405"/>
      <c r="AE248" s="405"/>
      <c r="AF248" s="405"/>
      <c r="AG248" s="405"/>
      <c r="AH248" s="405"/>
      <c r="AI248" s="405"/>
      <c r="AJ248" s="405"/>
      <c r="AK248" s="405"/>
      <c r="AL248" s="405"/>
      <c r="AM248" s="405"/>
      <c r="AN248" s="405"/>
      <c r="AO248" s="405"/>
      <c r="AP248" s="405"/>
      <c r="AQ248" s="405"/>
      <c r="AR248" s="405"/>
      <c r="AS248" s="405"/>
      <c r="AT248" s="405"/>
      <c r="AU248" s="405"/>
      <c r="AV248" s="405"/>
      <c r="AW248" s="405"/>
      <c r="AX248" s="405"/>
      <c r="AY248" s="405"/>
      <c r="AZ248" s="405"/>
      <c r="BA248" s="405"/>
      <c r="BB248" s="405"/>
      <c r="BC248" s="405"/>
      <c r="BD248" s="405"/>
      <c r="BE248" s="405"/>
      <c r="BF248" s="405"/>
      <c r="BG248" s="405"/>
      <c r="BH248" s="405"/>
      <c r="BI248" s="405"/>
      <c r="BJ248" s="405"/>
      <c r="BK248" s="405"/>
      <c r="BL248" s="405"/>
      <c r="BM248" s="405"/>
      <c r="BN248" s="405"/>
      <c r="BO248" s="405"/>
      <c r="BP248" s="405"/>
      <c r="BQ248" s="405"/>
      <c r="BR248" s="405"/>
      <c r="BS248" s="405"/>
      <c r="BT248" s="405"/>
      <c r="BU248" s="405"/>
      <c r="BV248" s="405"/>
      <c r="BW248" s="405"/>
      <c r="BX248" s="405"/>
      <c r="BY248" s="405"/>
      <c r="BZ248" s="405"/>
      <c r="CA248" s="405"/>
      <c r="CB248" s="405"/>
      <c r="CC248" s="405"/>
      <c r="CD248" s="405"/>
      <c r="CE248" s="405"/>
      <c r="CF248" s="405"/>
      <c r="CG248" s="405"/>
      <c r="CH248" s="405"/>
      <c r="CI248" s="405"/>
      <c r="CJ248" s="405"/>
      <c r="CK248" s="405"/>
      <c r="CL248" s="405"/>
      <c r="CM248" s="405"/>
      <c r="CN248" s="405"/>
      <c r="CO248" s="405"/>
      <c r="CP248" s="405"/>
      <c r="CQ248" s="405"/>
      <c r="CR248" s="405"/>
      <c r="CS248" s="405"/>
      <c r="CT248" s="405"/>
      <c r="CU248" s="405"/>
      <c r="CV248" s="405"/>
      <c r="CW248" s="405"/>
      <c r="CX248" s="405"/>
      <c r="CY248" s="405"/>
      <c r="CZ248" s="405"/>
      <c r="DA248" s="405"/>
      <c r="DB248" s="405"/>
      <c r="DC248" s="405"/>
      <c r="DD248" s="405"/>
      <c r="DE248" s="405"/>
      <c r="DF248" s="405"/>
      <c r="DG248" s="405"/>
      <c r="DH248" s="405"/>
      <c r="DI248" s="405"/>
      <c r="DJ248" s="405"/>
      <c r="DK248" s="405"/>
      <c r="DL248" s="405"/>
      <c r="DM248" s="405"/>
      <c r="DN248" s="405"/>
      <c r="DO248" s="405"/>
      <c r="DP248" s="405"/>
      <c r="DQ248" s="405"/>
      <c r="DR248" s="405"/>
      <c r="DS248" s="405"/>
      <c r="DT248" s="405"/>
      <c r="DU248" s="405"/>
      <c r="DV248" s="405"/>
      <c r="DW248" s="405"/>
      <c r="DX248" s="405"/>
      <c r="DY248" s="405"/>
      <c r="DZ248" s="405"/>
      <c r="EA248" s="405"/>
      <c r="EB248" s="405"/>
      <c r="EC248" s="405"/>
      <c r="ED248" s="405"/>
      <c r="EE248" s="405"/>
      <c r="EF248" s="405"/>
      <c r="EG248" s="405"/>
      <c r="EH248" s="405"/>
      <c r="EI248" s="405"/>
      <c r="EJ248" s="405"/>
      <c r="EK248" s="405"/>
      <c r="EL248" s="405"/>
      <c r="EM248" s="405"/>
      <c r="EN248" s="405"/>
    </row>
    <row r="249" spans="2:144" ht="15" customHeight="1" outlineLevel="1">
      <c r="B249" s="458"/>
      <c r="C249" s="458"/>
      <c r="D249" s="458"/>
      <c r="E249" s="458"/>
      <c r="F249" s="458"/>
      <c r="G249" s="88"/>
      <c r="H249" s="77"/>
      <c r="J249" s="403"/>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5"/>
      <c r="BO249" s="405"/>
      <c r="BP249" s="405"/>
      <c r="BQ249" s="405"/>
      <c r="BR249" s="405"/>
      <c r="BS249" s="405"/>
      <c r="BT249" s="405"/>
      <c r="BU249" s="405"/>
      <c r="BV249" s="405"/>
      <c r="BW249" s="405"/>
      <c r="BX249" s="405"/>
      <c r="BY249" s="405"/>
      <c r="BZ249" s="405"/>
      <c r="CA249" s="405"/>
      <c r="CB249" s="405"/>
      <c r="CC249" s="405"/>
      <c r="CD249" s="405"/>
      <c r="CE249" s="405"/>
      <c r="CF249" s="405"/>
      <c r="CG249" s="405"/>
      <c r="CH249" s="405"/>
      <c r="CI249" s="405"/>
      <c r="CJ249" s="405"/>
      <c r="CK249" s="405"/>
      <c r="CL249" s="405"/>
      <c r="CM249" s="405"/>
      <c r="CN249" s="405"/>
      <c r="CO249" s="405"/>
      <c r="CP249" s="405"/>
      <c r="CQ249" s="405"/>
      <c r="CR249" s="405"/>
      <c r="CS249" s="405"/>
      <c r="CT249" s="405"/>
      <c r="CU249" s="405"/>
      <c r="CV249" s="405"/>
      <c r="CW249" s="405"/>
      <c r="CX249" s="405"/>
      <c r="CY249" s="405"/>
      <c r="CZ249" s="405"/>
      <c r="DA249" s="405"/>
      <c r="DB249" s="405"/>
      <c r="DC249" s="405"/>
      <c r="DD249" s="405"/>
      <c r="DE249" s="405"/>
      <c r="DF249" s="405"/>
      <c r="DG249" s="405"/>
      <c r="DH249" s="405"/>
      <c r="DI249" s="405"/>
      <c r="DJ249" s="405"/>
      <c r="DK249" s="405"/>
      <c r="DL249" s="405"/>
      <c r="DM249" s="405"/>
      <c r="DN249" s="405"/>
      <c r="DO249" s="405"/>
      <c r="DP249" s="405"/>
      <c r="DQ249" s="405"/>
      <c r="DR249" s="405"/>
      <c r="DS249" s="405"/>
      <c r="DT249" s="405"/>
      <c r="DU249" s="405"/>
      <c r="DV249" s="405"/>
      <c r="DW249" s="405"/>
      <c r="DX249" s="405"/>
      <c r="DY249" s="405"/>
      <c r="DZ249" s="405"/>
      <c r="EA249" s="405"/>
      <c r="EB249" s="405"/>
      <c r="EC249" s="405"/>
      <c r="ED249" s="405"/>
      <c r="EE249" s="405"/>
      <c r="EF249" s="405"/>
      <c r="EG249" s="405"/>
      <c r="EH249" s="405"/>
      <c r="EI249" s="405"/>
      <c r="EJ249" s="405"/>
      <c r="EK249" s="405"/>
      <c r="EL249" s="405"/>
      <c r="EM249" s="405"/>
      <c r="EN249" s="405"/>
    </row>
    <row r="250" spans="2:144" ht="15" customHeight="1" outlineLevel="1">
      <c r="B250" s="411" t="str">
        <f>B202</f>
        <v>Water consumption per year</v>
      </c>
      <c r="C250" s="411"/>
      <c r="D250" s="411"/>
      <c r="E250" s="411"/>
      <c r="F250" s="258">
        <v>0</v>
      </c>
      <c r="G250" s="411" t="str">
        <f>G202</f>
        <v>[m³]</v>
      </c>
      <c r="H250" s="411"/>
      <c r="J250" s="403"/>
    </row>
    <row r="251" spans="2:144" ht="15" customHeight="1" outlineLevel="1">
      <c r="B251" s="403"/>
      <c r="C251" s="403"/>
      <c r="D251" s="403"/>
      <c r="E251" s="403"/>
      <c r="F251" s="403"/>
      <c r="G251" s="403"/>
      <c r="H251" s="403"/>
      <c r="J251" s="403"/>
    </row>
    <row r="252" spans="2:144" ht="15" customHeight="1">
      <c r="B252" s="459" t="str">
        <f>VLOOKUP("Input_7_Header",Hidden_Translations!$B$11:$J$1184,Hidden_Translations!$C$8,FALSE)</f>
        <v>#7: Retailer</v>
      </c>
      <c r="C252" s="459"/>
      <c r="D252" s="459"/>
      <c r="E252" s="459"/>
      <c r="F252" s="459"/>
      <c r="G252" s="459"/>
      <c r="H252" s="459"/>
      <c r="J252" s="403"/>
    </row>
    <row r="253" spans="2:144" ht="15" customHeight="1">
      <c r="B253" s="477"/>
      <c r="C253" s="477"/>
      <c r="D253" s="477"/>
      <c r="E253" s="477"/>
      <c r="F253" s="477"/>
      <c r="G253" s="477"/>
      <c r="H253" s="477"/>
      <c r="J253" s="403"/>
    </row>
    <row r="254" spans="2:144" ht="15" customHeight="1" outlineLevel="1">
      <c r="B254" s="405" t="str">
        <f>VLOOKUP("Input_7_Header_Text",Hidden_Translations!$B$11:$J$1184,Hidden_Translations!$C$8,FALSE)</f>
        <v>As a final step in the supply chain, the retailer is the place where consumers can buy food and take it off-site.</v>
      </c>
      <c r="H254" s="403"/>
      <c r="J254" s="403"/>
    </row>
    <row r="255" spans="2:144" ht="15" customHeight="1" outlineLevel="1">
      <c r="B255" s="405"/>
      <c r="H255" s="403"/>
      <c r="J255" s="403"/>
    </row>
    <row r="256" spans="2:144" ht="15" customHeight="1" outlineLevel="1">
      <c r="B256" s="476" t="str">
        <f>B208</f>
        <v>Storage</v>
      </c>
      <c r="C256" s="459"/>
      <c r="D256" s="459"/>
      <c r="E256" s="459"/>
      <c r="F256" s="459"/>
      <c r="G256" s="459"/>
      <c r="H256" s="459"/>
      <c r="J256" s="403"/>
    </row>
    <row r="257" spans="2:10" ht="15" customHeight="1" outlineLevel="1">
      <c r="B257" s="471"/>
      <c r="C257" s="474"/>
      <c r="D257" s="474"/>
      <c r="E257" s="474"/>
      <c r="F257" s="471"/>
      <c r="G257" s="471"/>
      <c r="H257" s="474"/>
      <c r="J257" s="403"/>
    </row>
    <row r="258" spans="2:10" ht="15" customHeight="1" outlineLevel="1">
      <c r="B258" s="411" t="str">
        <f>B210</f>
        <v>Storage time of a batch at the warehouse</v>
      </c>
      <c r="C258" s="411"/>
      <c r="D258" s="411"/>
      <c r="E258" s="411"/>
      <c r="F258" s="258">
        <v>0</v>
      </c>
      <c r="G258" s="411" t="str">
        <f>G210</f>
        <v>[d]</v>
      </c>
      <c r="H258" s="411"/>
      <c r="J258" s="403"/>
    </row>
    <row r="259" spans="2:10" ht="15" customHeight="1" outlineLevel="1">
      <c r="B259" s="411" t="str">
        <f>B211</f>
        <v>Warehouse volume occupied by a batch</v>
      </c>
      <c r="C259" s="411"/>
      <c r="D259" s="411"/>
      <c r="E259" s="411"/>
      <c r="F259" s="258">
        <v>0</v>
      </c>
      <c r="G259" s="411" t="str">
        <f>G211</f>
        <v>[m³]</v>
      </c>
      <c r="H259" s="411"/>
      <c r="J259" s="403"/>
    </row>
    <row r="260" spans="2:10" ht="15" customHeight="1" outlineLevel="1">
      <c r="B260" s="411" t="str">
        <f>B212</f>
        <v>Total size of storage</v>
      </c>
      <c r="C260" s="411"/>
      <c r="D260" s="411"/>
      <c r="E260" s="411"/>
      <c r="F260" s="258">
        <v>0</v>
      </c>
      <c r="G260" s="411" t="str">
        <f>G212</f>
        <v>[m³]</v>
      </c>
      <c r="H260" s="411"/>
      <c r="J260" s="403"/>
    </row>
    <row r="261" spans="2:10" ht="15" customHeight="1" outlineLevel="1">
      <c r="B261" s="411" t="str">
        <f>B213</f>
        <v>Average amount of stored products per year</v>
      </c>
      <c r="C261" s="411"/>
      <c r="D261" s="411"/>
      <c r="E261" s="411"/>
      <c r="F261" s="258">
        <v>0</v>
      </c>
      <c r="G261" s="411" t="str">
        <f>G213</f>
        <v>[kg/a]</v>
      </c>
      <c r="H261" s="411"/>
      <c r="J261" s="403"/>
    </row>
    <row r="262" spans="2:10" ht="15" customHeight="1" outlineLevel="1">
      <c r="B262" s="444"/>
      <c r="F262" s="87"/>
      <c r="H262" s="403"/>
      <c r="J262" s="403"/>
    </row>
    <row r="263" spans="2:10" ht="15" customHeight="1" outlineLevel="1">
      <c r="B263" s="411" t="str">
        <f>B215</f>
        <v>Electricity from the grid</v>
      </c>
      <c r="C263" s="411"/>
      <c r="D263" s="411"/>
      <c r="E263" s="411" t="str">
        <f>E100</f>
        <v>Consumption per year:</v>
      </c>
      <c r="F263" s="258">
        <v>0</v>
      </c>
      <c r="G263" s="411" t="str">
        <f>G215</f>
        <v>[kWh]</v>
      </c>
      <c r="H263" s="411"/>
      <c r="J263" s="403"/>
    </row>
    <row r="264" spans="2:10" ht="15" customHeight="1" outlineLevel="1">
      <c r="B264" s="256"/>
      <c r="C264" s="411" t="str">
        <f>G22</f>
        <v>[Selection]</v>
      </c>
      <c r="D264" s="411"/>
      <c r="E264" s="411" t="str">
        <f>E100</f>
        <v>Consumption per year:</v>
      </c>
      <c r="F264" s="258">
        <v>0</v>
      </c>
      <c r="G264" s="411" t="str">
        <f>VLOOKUP(B264,Hidden_Database!$C$11:$I$75,3,FALSE)</f>
        <v>[kg]</v>
      </c>
      <c r="H264" s="411"/>
      <c r="J264" s="403"/>
    </row>
    <row r="265" spans="2:10" ht="15" customHeight="1" outlineLevel="1">
      <c r="B265" s="256"/>
      <c r="C265" s="411" t="str">
        <f>G22</f>
        <v>[Selection]</v>
      </c>
      <c r="D265" s="411"/>
      <c r="E265" s="411" t="str">
        <f>E100</f>
        <v>Consumption per year:</v>
      </c>
      <c r="F265" s="258">
        <v>0</v>
      </c>
      <c r="G265" s="411" t="str">
        <f>VLOOKUP(B265,Hidden_Database!$C$11:$I$75,3,FALSE)</f>
        <v>[kg]</v>
      </c>
      <c r="H265" s="411"/>
      <c r="J265" s="403"/>
    </row>
    <row r="266" spans="2:10" ht="15" customHeight="1" outlineLevel="1">
      <c r="B266" s="445"/>
      <c r="C266" s="413"/>
      <c r="D266" s="413"/>
      <c r="E266" s="413"/>
      <c r="F266" s="466"/>
      <c r="G266" s="413"/>
      <c r="H266" s="404"/>
      <c r="J266" s="403"/>
    </row>
    <row r="267" spans="2:10" ht="15" customHeight="1" outlineLevel="1">
      <c r="B267" s="411" t="str">
        <f>B219</f>
        <v>Water consumption per year</v>
      </c>
      <c r="C267" s="411"/>
      <c r="D267" s="411"/>
      <c r="E267" s="411"/>
      <c r="F267" s="258">
        <v>0</v>
      </c>
      <c r="G267" s="411" t="str">
        <f>G219</f>
        <v>[m³]</v>
      </c>
      <c r="H267" s="411"/>
      <c r="J267" s="403"/>
    </row>
    <row r="268" spans="2:10" ht="15" customHeight="1" outlineLevel="1">
      <c r="B268" s="466"/>
      <c r="C268" s="413"/>
      <c r="D268" s="413"/>
      <c r="E268" s="413"/>
      <c r="F268" s="466"/>
      <c r="G268" s="413"/>
      <c r="H268" s="404"/>
      <c r="J268" s="403"/>
    </row>
    <row r="269" spans="2:10" ht="15" customHeight="1" outlineLevel="1">
      <c r="B269" s="411" t="str">
        <f>B221</f>
        <v>Type of refrigerant</v>
      </c>
      <c r="C269" s="411"/>
      <c r="D269" s="411"/>
      <c r="E269" s="411"/>
      <c r="F269" s="257" t="s">
        <v>249</v>
      </c>
      <c r="G269" s="411" t="str">
        <f>G221</f>
        <v>[Selection]</v>
      </c>
      <c r="H269" s="411"/>
      <c r="J269" s="403"/>
    </row>
    <row r="270" spans="2:10" ht="15" customHeight="1" outlineLevel="1">
      <c r="B270" s="411" t="str">
        <f>B222</f>
        <v>Initial annual precharge</v>
      </c>
      <c r="C270" s="411"/>
      <c r="D270" s="411"/>
      <c r="E270" s="411"/>
      <c r="F270" s="258">
        <v>0</v>
      </c>
      <c r="G270" s="411" t="str">
        <f>G222</f>
        <v>[kg]</v>
      </c>
      <c r="H270" s="411"/>
      <c r="J270" s="403"/>
    </row>
    <row r="271" spans="2:10" ht="15" customHeight="1" outlineLevel="1">
      <c r="B271" s="403"/>
      <c r="C271" s="403"/>
      <c r="D271" s="403"/>
      <c r="E271" s="403"/>
      <c r="F271" s="403"/>
      <c r="G271" s="403"/>
      <c r="H271" s="403"/>
      <c r="J271" s="403"/>
    </row>
    <row r="272" spans="2:10" ht="15" customHeight="1" outlineLevel="1">
      <c r="B272" s="476" t="str">
        <f>B224</f>
        <v>Waste</v>
      </c>
      <c r="C272" s="459"/>
      <c r="D272" s="459"/>
      <c r="E272" s="459"/>
      <c r="F272" s="459"/>
      <c r="G272" s="459"/>
      <c r="H272" s="459"/>
      <c r="J272" s="403"/>
    </row>
    <row r="273" spans="2:11" ht="15" customHeight="1" outlineLevel="1">
      <c r="B273" s="489"/>
      <c r="C273" s="489"/>
      <c r="D273" s="489"/>
      <c r="E273" s="489"/>
      <c r="F273" s="489"/>
      <c r="G273" s="489"/>
      <c r="H273" s="489"/>
      <c r="J273" s="403"/>
    </row>
    <row r="274" spans="2:11" ht="15" customHeight="1" outlineLevel="1">
      <c r="B274" s="461"/>
      <c r="C274" s="461"/>
      <c r="D274" s="468" t="str">
        <f>D226</f>
        <v>Waste 1</v>
      </c>
      <c r="E274" s="468" t="str">
        <f>E226</f>
        <v>Waste 2</v>
      </c>
      <c r="F274" s="468" t="str">
        <f>F226</f>
        <v>Waste 3</v>
      </c>
      <c r="G274" s="468" t="str">
        <f>G226</f>
        <v>Waste 4</v>
      </c>
      <c r="H274" s="461"/>
      <c r="J274" s="403"/>
    </row>
    <row r="275" spans="2:11" ht="30" customHeight="1" outlineLevel="1">
      <c r="B275" s="411" t="str">
        <f>B227</f>
        <v>Waste type and disposal</v>
      </c>
      <c r="C275" s="411"/>
      <c r="D275" s="253" t="s">
        <v>249</v>
      </c>
      <c r="E275" s="253" t="s">
        <v>249</v>
      </c>
      <c r="F275" s="253" t="s">
        <v>249</v>
      </c>
      <c r="G275" s="253" t="s">
        <v>249</v>
      </c>
      <c r="H275" s="411" t="str">
        <f>G22</f>
        <v>[Selection]</v>
      </c>
      <c r="J275" s="403"/>
    </row>
    <row r="276" spans="2:11" ht="15" customHeight="1" outlineLevel="1">
      <c r="B276" s="411" t="str">
        <f>B228</f>
        <v>Amount of waste per year</v>
      </c>
      <c r="C276" s="411"/>
      <c r="D276" s="298">
        <v>0</v>
      </c>
      <c r="E276" s="298">
        <v>0</v>
      </c>
      <c r="F276" s="298">
        <v>0</v>
      </c>
      <c r="G276" s="298">
        <v>0</v>
      </c>
      <c r="H276" s="411"/>
      <c r="J276" s="403"/>
    </row>
    <row r="277" spans="2:11" ht="15" customHeight="1" outlineLevel="1">
      <c r="B277" s="411" t="str">
        <f>B229</f>
        <v>Unit</v>
      </c>
      <c r="C277" s="411"/>
      <c r="D277" s="469" t="str">
        <f>VLOOKUP(D275,Hidden_Database!$C$42:$E$53,3,FALSE)</f>
        <v/>
      </c>
      <c r="E277" s="469"/>
      <c r="F277" s="469" t="str">
        <f>VLOOKUP(F275,Hidden_Database!$C$42:$E$53,3,FALSE)</f>
        <v/>
      </c>
      <c r="G277" s="469" t="str">
        <f>VLOOKUP(G275,Hidden_Database!$C$42:$E$53,3,FALSE)</f>
        <v/>
      </c>
      <c r="H277" s="411"/>
      <c r="J277" s="403"/>
    </row>
    <row r="278" spans="2:11" ht="15" customHeight="1" outlineLevel="1">
      <c r="B278" s="411" t="str">
        <f t="shared" ref="B278" si="4">B230</f>
        <v>Transport distance by lorry truck</v>
      </c>
      <c r="C278" s="411"/>
      <c r="D278" s="298">
        <v>0</v>
      </c>
      <c r="E278" s="298">
        <v>0</v>
      </c>
      <c r="F278" s="298">
        <v>0</v>
      </c>
      <c r="G278" s="298">
        <v>0</v>
      </c>
      <c r="H278" s="411" t="str">
        <f>H230</f>
        <v>[km]</v>
      </c>
      <c r="J278" s="403"/>
    </row>
    <row r="279" spans="2:11" ht="15" customHeight="1">
      <c r="B279" s="421"/>
      <c r="C279" s="421"/>
      <c r="D279" s="421"/>
      <c r="E279" s="421"/>
      <c r="F279" s="421"/>
      <c r="H279" s="403"/>
      <c r="J279" s="403"/>
    </row>
    <row r="281" spans="2:11">
      <c r="I281" s="403"/>
      <c r="J281" s="478"/>
    </row>
    <row r="282" spans="2:11">
      <c r="I282" s="403"/>
      <c r="J282" s="478"/>
    </row>
    <row r="283" spans="2:11">
      <c r="I283" s="403"/>
      <c r="J283" s="478"/>
    </row>
    <row r="284" spans="2:11">
      <c r="I284" s="403"/>
      <c r="J284" s="478"/>
    </row>
    <row r="285" spans="2:11">
      <c r="I285" s="403"/>
      <c r="J285" s="478"/>
    </row>
    <row r="286" spans="2:11">
      <c r="I286" s="403"/>
      <c r="J286" s="478"/>
    </row>
    <row r="287" spans="2:11">
      <c r="K287" s="441"/>
    </row>
    <row r="291" spans="11:11" ht="30" customHeight="1"/>
    <row r="293" spans="11:11">
      <c r="K293" s="441"/>
    </row>
    <row r="316" spans="9:10">
      <c r="I316" s="403"/>
      <c r="J316" s="479"/>
    </row>
  </sheetData>
  <sheetProtection sheet="1" objects="1" scenarios="1" selectLockedCells="1"/>
  <mergeCells count="14">
    <mergeCell ref="B273:H273"/>
    <mergeCell ref="B111:G111"/>
    <mergeCell ref="B225:H225"/>
    <mergeCell ref="B58:E58"/>
    <mergeCell ref="B123:E123"/>
    <mergeCell ref="B83:H83"/>
    <mergeCell ref="B232:H232"/>
    <mergeCell ref="B6:H6"/>
    <mergeCell ref="B43:H43"/>
    <mergeCell ref="B79:H79"/>
    <mergeCell ref="B56:H56"/>
    <mergeCell ref="B68:H68"/>
    <mergeCell ref="B26:H26"/>
    <mergeCell ref="B20:H20"/>
  </mergeCells>
  <conditionalFormatting sqref="C71:G71">
    <cfRule type="expression" dxfId="610" priority="342">
      <formula>#REF!="NO"</formula>
    </cfRule>
  </conditionalFormatting>
  <conditionalFormatting sqref="C59 B59:B60 B125 B160 B57:C57">
    <cfRule type="expression" dxfId="609" priority="546">
      <formula>#REF!="NO"</formula>
    </cfRule>
  </conditionalFormatting>
  <conditionalFormatting sqref="B45:B46 B22 G38:H39 G32:H34 G28:H28 G58 B61:B64 B71:B73 G46:H48 B161:B163 H161:H163 E75 G75 E89:E92 G89:G92 E96:E98 G96:G98 E100:E102 G100:G102 E106:E107 G106:G107 E104 G104 E137 G137 E143:E145 G143:G145 E147 G147 E153:E154 G153:G154 E151 G151 G165 E171:E173 G171:G173 E175:E177 G175:G177 E181:E182 G181:G182 E179 G179 G202 E221 G221 G219 E210:E212 G210:G212 E215 G215 E250 G250 E269 G269 E267 G267 E258:E260 G258:G260 E263 G263 B114:C117 H114:H117 B227:C230 H227:H230 B275:C278 H275:H278">
    <cfRule type="expression" dxfId="608" priority="329">
      <formula>MOD(ROW(),2)=0</formula>
    </cfRule>
  </conditionalFormatting>
  <conditionalFormatting sqref="B47:B48 E47:E48">
    <cfRule type="expression" dxfId="607" priority="327">
      <formula>MOD(ROW(),2)=0</formula>
    </cfRule>
  </conditionalFormatting>
  <conditionalFormatting sqref="B28">
    <cfRule type="expression" dxfId="606" priority="326">
      <formula>MOD(ROW(),2)=0</formula>
    </cfRule>
  </conditionalFormatting>
  <conditionalFormatting sqref="B32:B34">
    <cfRule type="expression" dxfId="605" priority="325">
      <formula>MOD(ROW(),2)=0</formula>
    </cfRule>
  </conditionalFormatting>
  <conditionalFormatting sqref="B38:B39">
    <cfRule type="expression" dxfId="604" priority="324">
      <formula>MOD(ROW(),2)=0</formula>
    </cfRule>
  </conditionalFormatting>
  <conditionalFormatting sqref="E46">
    <cfRule type="expression" dxfId="603" priority="316">
      <formula>MOD(ROW(),2)=0</formula>
    </cfRule>
  </conditionalFormatting>
  <conditionalFormatting sqref="E45">
    <cfRule type="expression" dxfId="602" priority="315">
      <formula>MOD(ROW(),2)=0</formula>
    </cfRule>
  </conditionalFormatting>
  <conditionalFormatting sqref="F46">
    <cfRule type="expression" dxfId="601" priority="314">
      <formula>MOD(ROW(),2)=0</formula>
    </cfRule>
  </conditionalFormatting>
  <conditionalFormatting sqref="F45:H45">
    <cfRule type="expression" dxfId="600" priority="313">
      <formula>MOD(ROW(),2)=0</formula>
    </cfRule>
  </conditionalFormatting>
  <conditionalFormatting sqref="E38:E39 E32:E34 E28">
    <cfRule type="expression" dxfId="599" priority="300">
      <formula>MOD(ROW(),2)=0</formula>
    </cfRule>
  </conditionalFormatting>
  <conditionalFormatting sqref="B58">
    <cfRule type="expression" dxfId="598" priority="293">
      <formula>MOD(ROW(),2)=0</formula>
    </cfRule>
  </conditionalFormatting>
  <conditionalFormatting sqref="G22">
    <cfRule type="expression" dxfId="597" priority="294">
      <formula>MOD(ROW(),2)=0</formula>
    </cfRule>
  </conditionalFormatting>
  <conditionalFormatting sqref="B75">
    <cfRule type="expression" dxfId="596" priority="288">
      <formula>MOD(ROW(),2)=0</formula>
    </cfRule>
  </conditionalFormatting>
  <conditionalFormatting sqref="B86:B87">
    <cfRule type="expression" dxfId="595" priority="284">
      <formula>MOD(ROW(),2)=0</formula>
    </cfRule>
  </conditionalFormatting>
  <conditionalFormatting sqref="H86:H87">
    <cfRule type="expression" dxfId="594" priority="283">
      <formula>MOD(ROW(),2)=0</formula>
    </cfRule>
  </conditionalFormatting>
  <conditionalFormatting sqref="H61:H64">
    <cfRule type="expression" dxfId="593" priority="282">
      <formula>MOD(ROW(),2)=0</formula>
    </cfRule>
  </conditionalFormatting>
  <conditionalFormatting sqref="H71:H73">
    <cfRule type="expression" dxfId="592" priority="281">
      <formula>MOD(ROW(),2)=0</formula>
    </cfRule>
  </conditionalFormatting>
  <conditionalFormatting sqref="B89:B92">
    <cfRule type="expression" dxfId="591" priority="278">
      <formula>MOD(ROW(),2)=0</formula>
    </cfRule>
  </conditionalFormatting>
  <conditionalFormatting sqref="H89:H92">
    <cfRule type="expression" dxfId="590" priority="276">
      <formula>MOD(ROW(),2)=0</formula>
    </cfRule>
  </conditionalFormatting>
  <conditionalFormatting sqref="B96:B98">
    <cfRule type="expression" dxfId="589" priority="275">
      <formula>MOD(ROW(),2)=0</formula>
    </cfRule>
  </conditionalFormatting>
  <conditionalFormatting sqref="H96:H98">
    <cfRule type="expression" dxfId="588" priority="273">
      <formula>MOD(ROW(),2)=0</formula>
    </cfRule>
  </conditionalFormatting>
  <conditionalFormatting sqref="H60 G57 G59 G189 G237">
    <cfRule type="expression" dxfId="587" priority="691">
      <formula>$C$62=YES</formula>
    </cfRule>
  </conditionalFormatting>
  <conditionalFormatting sqref="H60 G57 G59 G189 G237">
    <cfRule type="expression" dxfId="586" priority="693">
      <formula>$C$62="YES"</formula>
    </cfRule>
  </conditionalFormatting>
  <conditionalFormatting sqref="H75">
    <cfRule type="expression" dxfId="585" priority="269">
      <formula>MOD(ROW(),2)=0</formula>
    </cfRule>
  </conditionalFormatting>
  <conditionalFormatting sqref="B100">
    <cfRule type="expression" dxfId="584" priority="266">
      <formula>MOD(ROW(),2)=0</formula>
    </cfRule>
  </conditionalFormatting>
  <conditionalFormatting sqref="H100:H102">
    <cfRule type="expression" dxfId="583" priority="264">
      <formula>MOD(ROW(),2)=0</formula>
    </cfRule>
  </conditionalFormatting>
  <conditionalFormatting sqref="F106">
    <cfRule type="expression" dxfId="582" priority="263">
      <formula>#REF!="NO"</formula>
    </cfRule>
  </conditionalFormatting>
  <conditionalFormatting sqref="B104">
    <cfRule type="expression" dxfId="581" priority="262">
      <formula>MOD(ROW(),2)=0</formula>
    </cfRule>
  </conditionalFormatting>
  <conditionalFormatting sqref="B106:B107">
    <cfRule type="expression" dxfId="580" priority="261">
      <formula>MOD(ROW(),2)=0</formula>
    </cfRule>
  </conditionalFormatting>
  <conditionalFormatting sqref="H106:H107">
    <cfRule type="expression" dxfId="579" priority="260">
      <formula>MOD(ROW(),2)=0</formula>
    </cfRule>
  </conditionalFormatting>
  <conditionalFormatting sqref="H104">
    <cfRule type="expression" dxfId="578" priority="259">
      <formula>MOD(ROW(),2)=0</formula>
    </cfRule>
  </conditionalFormatting>
  <conditionalFormatting sqref="H58">
    <cfRule type="expression" dxfId="577" priority="256">
      <formula>MOD(ROW(),2)=0</formula>
    </cfRule>
  </conditionalFormatting>
  <conditionalFormatting sqref="B133:B135">
    <cfRule type="expression" dxfId="576" priority="238">
      <formula>MOD(ROW(),2)=0</formula>
    </cfRule>
  </conditionalFormatting>
  <conditionalFormatting sqref="H133:H135">
    <cfRule type="expression" dxfId="575" priority="237">
      <formula>MOD(ROW(),2)=0</formula>
    </cfRule>
  </conditionalFormatting>
  <conditionalFormatting sqref="B126:B129">
    <cfRule type="expression" dxfId="574" priority="232">
      <formula>MOD(ROW(),2)=0</formula>
    </cfRule>
  </conditionalFormatting>
  <conditionalFormatting sqref="H126:H129">
    <cfRule type="expression" dxfId="573" priority="231">
      <formula>MOD(ROW(),2)=0</formula>
    </cfRule>
  </conditionalFormatting>
  <conditionalFormatting sqref="H125">
    <cfRule type="expression" dxfId="572" priority="234">
      <formula>$C$62=YES</formula>
    </cfRule>
  </conditionalFormatting>
  <conditionalFormatting sqref="H125">
    <cfRule type="expression" dxfId="571" priority="235">
      <formula>$C$62="YES"</formula>
    </cfRule>
  </conditionalFormatting>
  <conditionalFormatting sqref="C133:G133">
    <cfRule type="expression" dxfId="570" priority="229">
      <formula>#REF!="NO"</formula>
    </cfRule>
  </conditionalFormatting>
  <conditionalFormatting sqref="B137">
    <cfRule type="expression" dxfId="569" priority="227">
      <formula>MOD(ROW(),2)=0</formula>
    </cfRule>
  </conditionalFormatting>
  <conditionalFormatting sqref="H137">
    <cfRule type="expression" dxfId="568" priority="226">
      <formula>MOD(ROW(),2)=0</formula>
    </cfRule>
  </conditionalFormatting>
  <conditionalFormatting sqref="B143:B145">
    <cfRule type="expression" dxfId="567" priority="210">
      <formula>MOD(ROW(),2)=0</formula>
    </cfRule>
  </conditionalFormatting>
  <conditionalFormatting sqref="H143:H145">
    <cfRule type="expression" dxfId="566" priority="208">
      <formula>MOD(ROW(),2)=0</formula>
    </cfRule>
  </conditionalFormatting>
  <conditionalFormatting sqref="B147">
    <cfRule type="expression" dxfId="565" priority="207">
      <formula>MOD(ROW(),2)=0</formula>
    </cfRule>
  </conditionalFormatting>
  <conditionalFormatting sqref="E148:E149 H147:H149">
    <cfRule type="expression" dxfId="564" priority="205">
      <formula>MOD(ROW(),2)=0</formula>
    </cfRule>
  </conditionalFormatting>
  <conditionalFormatting sqref="B151">
    <cfRule type="expression" dxfId="563" priority="203">
      <formula>MOD(ROW(),2)=0</formula>
    </cfRule>
  </conditionalFormatting>
  <conditionalFormatting sqref="B153:B154">
    <cfRule type="expression" dxfId="562" priority="202">
      <formula>MOD(ROW(),2)=0</formula>
    </cfRule>
  </conditionalFormatting>
  <conditionalFormatting sqref="H153:H154">
    <cfRule type="expression" dxfId="561" priority="201">
      <formula>MOD(ROW(),2)=0</formula>
    </cfRule>
  </conditionalFormatting>
  <conditionalFormatting sqref="H151">
    <cfRule type="expression" dxfId="560" priority="200">
      <formula>MOD(ROW(),2)=0</formula>
    </cfRule>
  </conditionalFormatting>
  <conditionalFormatting sqref="F153">
    <cfRule type="expression" dxfId="559" priority="204">
      <formula>#REF!="NO"</formula>
    </cfRule>
  </conditionalFormatting>
  <conditionalFormatting sqref="H160">
    <cfRule type="expression" dxfId="558" priority="198">
      <formula>$C$62=YES</formula>
    </cfRule>
  </conditionalFormatting>
  <conditionalFormatting sqref="H160">
    <cfRule type="expression" dxfId="557" priority="199">
      <formula>$C$62="YES"</formula>
    </cfRule>
  </conditionalFormatting>
  <conditionalFormatting sqref="B165">
    <cfRule type="expression" dxfId="556" priority="193">
      <formula>MOD(ROW(),2)=0</formula>
    </cfRule>
  </conditionalFormatting>
  <conditionalFormatting sqref="H165">
    <cfRule type="expression" dxfId="555" priority="190">
      <formula>MOD(ROW(),2)=0</formula>
    </cfRule>
  </conditionalFormatting>
  <conditionalFormatting sqref="H171:H173">
    <cfRule type="expression" dxfId="554" priority="186">
      <formula>MOD(ROW(),2)=0</formula>
    </cfRule>
  </conditionalFormatting>
  <conditionalFormatting sqref="H175:H177">
    <cfRule type="expression" dxfId="553" priority="183">
      <formula>MOD(ROW(),2)=0</formula>
    </cfRule>
  </conditionalFormatting>
  <conditionalFormatting sqref="G188">
    <cfRule type="expression" dxfId="552" priority="171">
      <formula>MOD(ROW(),2)=0</formula>
    </cfRule>
  </conditionalFormatting>
  <conditionalFormatting sqref="B179">
    <cfRule type="expression" dxfId="551" priority="174">
      <formula>MOD(ROW(),2)=0</formula>
    </cfRule>
  </conditionalFormatting>
  <conditionalFormatting sqref="H181:H182">
    <cfRule type="expression" dxfId="550" priority="179">
      <formula>MOD(ROW(),2)=0</formula>
    </cfRule>
  </conditionalFormatting>
  <conditionalFormatting sqref="H179">
    <cfRule type="expression" dxfId="549" priority="178">
      <formula>MOD(ROW(),2)=0</formula>
    </cfRule>
  </conditionalFormatting>
  <conditionalFormatting sqref="F181">
    <cfRule type="expression" dxfId="548" priority="177">
      <formula>#REF!="NO"</formula>
    </cfRule>
  </conditionalFormatting>
  <conditionalFormatting sqref="B171:B173">
    <cfRule type="expression" dxfId="547" priority="176">
      <formula>MOD(ROW(),2)=0</formula>
    </cfRule>
  </conditionalFormatting>
  <conditionalFormatting sqref="B175">
    <cfRule type="expression" dxfId="546" priority="175">
      <formula>MOD(ROW(),2)=0</formula>
    </cfRule>
  </conditionalFormatting>
  <conditionalFormatting sqref="B181:B182">
    <cfRule type="expression" dxfId="545" priority="173">
      <formula>MOD(ROW(),2)=0</formula>
    </cfRule>
  </conditionalFormatting>
  <conditionalFormatting sqref="B188">
    <cfRule type="expression" dxfId="544" priority="170">
      <formula>MOD(ROW(),2)=0</formula>
    </cfRule>
  </conditionalFormatting>
  <conditionalFormatting sqref="H188">
    <cfRule type="expression" dxfId="543" priority="169">
      <formula>MOD(ROW(),2)=0</formula>
    </cfRule>
  </conditionalFormatting>
  <conditionalFormatting sqref="C189 B189:B190">
    <cfRule type="expression" dxfId="542" priority="166">
      <formula>#REF!="NO"</formula>
    </cfRule>
  </conditionalFormatting>
  <conditionalFormatting sqref="B191:B194">
    <cfRule type="expression" dxfId="541" priority="165">
      <formula>MOD(ROW(),2)=0</formula>
    </cfRule>
  </conditionalFormatting>
  <conditionalFormatting sqref="H191:H194">
    <cfRule type="expression" dxfId="540" priority="164">
      <formula>MOD(ROW(),2)=0</formula>
    </cfRule>
  </conditionalFormatting>
  <conditionalFormatting sqref="H190">
    <cfRule type="expression" dxfId="539" priority="167">
      <formula>$C$62=YES</formula>
    </cfRule>
  </conditionalFormatting>
  <conditionalFormatting sqref="H190">
    <cfRule type="expression" dxfId="538" priority="168">
      <formula>$C$62="YES"</formula>
    </cfRule>
  </conditionalFormatting>
  <conditionalFormatting sqref="H202">
    <cfRule type="expression" dxfId="537" priority="148">
      <formula>MOD(ROW(),2)=0</formula>
    </cfRule>
  </conditionalFormatting>
  <conditionalFormatting sqref="B198:B200">
    <cfRule type="expression" dxfId="536" priority="157">
      <formula>MOD(ROW(),2)=0</formula>
    </cfRule>
  </conditionalFormatting>
  <conditionalFormatting sqref="E222 H221:H222">
    <cfRule type="expression" dxfId="535" priority="140">
      <formula>MOD(ROW(),2)=0</formula>
    </cfRule>
  </conditionalFormatting>
  <conditionalFormatting sqref="H219">
    <cfRule type="expression" dxfId="534" priority="139">
      <formula>MOD(ROW(),2)=0</formula>
    </cfRule>
  </conditionalFormatting>
  <conditionalFormatting sqref="H198:H200">
    <cfRule type="expression" dxfId="533" priority="154">
      <formula>MOD(ROW(),2)=0</formula>
    </cfRule>
  </conditionalFormatting>
  <conditionalFormatting sqref="B202">
    <cfRule type="expression" dxfId="532" priority="147">
      <formula>MOD(ROW(),2)=0</formula>
    </cfRule>
  </conditionalFormatting>
  <conditionalFormatting sqref="B215">
    <cfRule type="expression" dxfId="531" priority="136">
      <formula>MOD(ROW(),2)=0</formula>
    </cfRule>
  </conditionalFormatting>
  <conditionalFormatting sqref="B221:B222">
    <cfRule type="expression" dxfId="530" priority="134">
      <formula>MOD(ROW(),2)=0</formula>
    </cfRule>
  </conditionalFormatting>
  <conditionalFormatting sqref="E213 H210:H213">
    <cfRule type="expression" dxfId="529" priority="145">
      <formula>MOD(ROW(),2)=0</formula>
    </cfRule>
  </conditionalFormatting>
  <conditionalFormatting sqref="E216:E217 H215:H217">
    <cfRule type="expression" dxfId="528" priority="143">
      <formula>MOD(ROW(),2)=0</formula>
    </cfRule>
  </conditionalFormatting>
  <conditionalFormatting sqref="F221">
    <cfRule type="expression" dxfId="527" priority="132">
      <formula>#REF!="NO"</formula>
    </cfRule>
  </conditionalFormatting>
  <conditionalFormatting sqref="B210:B212">
    <cfRule type="expression" dxfId="526" priority="137">
      <formula>MOD(ROW(),2)=0</formula>
    </cfRule>
  </conditionalFormatting>
  <conditionalFormatting sqref="B213">
    <cfRule type="expression" dxfId="525" priority="133">
      <formula>MOD(ROW(),2)=0</formula>
    </cfRule>
  </conditionalFormatting>
  <conditionalFormatting sqref="G213">
    <cfRule type="expression" dxfId="524" priority="131">
      <formula>MOD(ROW(),2)=0</formula>
    </cfRule>
  </conditionalFormatting>
  <conditionalFormatting sqref="G217">
    <cfRule type="expression" dxfId="523" priority="130">
      <formula>MOD(ROW(),2)=0</formula>
    </cfRule>
  </conditionalFormatting>
  <conditionalFormatting sqref="G222">
    <cfRule type="expression" dxfId="522" priority="129">
      <formula>MOD(ROW(),2)=0</formula>
    </cfRule>
  </conditionalFormatting>
  <conditionalFormatting sqref="G236">
    <cfRule type="expression" dxfId="521" priority="126">
      <formula>MOD(ROW(),2)=0</formula>
    </cfRule>
  </conditionalFormatting>
  <conditionalFormatting sqref="B236">
    <cfRule type="expression" dxfId="520" priority="125">
      <formula>MOD(ROW(),2)=0</formula>
    </cfRule>
  </conditionalFormatting>
  <conditionalFormatting sqref="H236 C236:E236">
    <cfRule type="expression" dxfId="519" priority="124">
      <formula>MOD(ROW(),2)=0</formula>
    </cfRule>
  </conditionalFormatting>
  <conditionalFormatting sqref="C237 B237:B238">
    <cfRule type="expression" dxfId="518" priority="121">
      <formula>#REF!="NO"</formula>
    </cfRule>
  </conditionalFormatting>
  <conditionalFormatting sqref="B239:B242">
    <cfRule type="expression" dxfId="517" priority="120">
      <formula>MOD(ROW(),2)=0</formula>
    </cfRule>
  </conditionalFormatting>
  <conditionalFormatting sqref="H239:H242">
    <cfRule type="expression" dxfId="516" priority="119">
      <formula>MOD(ROW(),2)=0</formula>
    </cfRule>
  </conditionalFormatting>
  <conditionalFormatting sqref="H238">
    <cfRule type="expression" dxfId="515" priority="122">
      <formula>$C$62=YES</formula>
    </cfRule>
  </conditionalFormatting>
  <conditionalFormatting sqref="H238">
    <cfRule type="expression" dxfId="514" priority="123">
      <formula>$C$62="YES"</formula>
    </cfRule>
  </conditionalFormatting>
  <conditionalFormatting sqref="H250">
    <cfRule type="expression" dxfId="513" priority="113">
      <formula>MOD(ROW(),2)=0</formula>
    </cfRule>
  </conditionalFormatting>
  <conditionalFormatting sqref="B246:B248">
    <cfRule type="expression" dxfId="512" priority="117">
      <formula>MOD(ROW(),2)=0</formula>
    </cfRule>
  </conditionalFormatting>
  <conditionalFormatting sqref="H246:H248">
    <cfRule type="expression" dxfId="511" priority="116">
      <formula>MOD(ROW(),2)=0</formula>
    </cfRule>
  </conditionalFormatting>
  <conditionalFormatting sqref="B250">
    <cfRule type="expression" dxfId="510" priority="112">
      <formula>MOD(ROW(),2)=0</formula>
    </cfRule>
  </conditionalFormatting>
  <conditionalFormatting sqref="D116:G116">
    <cfRule type="expression" dxfId="509" priority="109">
      <formula>MOD(ROW(),2)=0</formula>
    </cfRule>
  </conditionalFormatting>
  <conditionalFormatting sqref="D229:G229">
    <cfRule type="expression" dxfId="508" priority="106">
      <formula>MOD(ROW(),2)=0</formula>
    </cfRule>
  </conditionalFormatting>
  <conditionalFormatting sqref="G264:G265">
    <cfRule type="expression" dxfId="507" priority="83">
      <formula>MOD(ROW(),2)=0</formula>
    </cfRule>
  </conditionalFormatting>
  <conditionalFormatting sqref="E270 H269:H270">
    <cfRule type="expression" dxfId="506" priority="98">
      <formula>MOD(ROW(),2)=0</formula>
    </cfRule>
  </conditionalFormatting>
  <conditionalFormatting sqref="H267">
    <cfRule type="expression" dxfId="505" priority="97">
      <formula>MOD(ROW(),2)=0</formula>
    </cfRule>
  </conditionalFormatting>
  <conditionalFormatting sqref="B263">
    <cfRule type="expression" dxfId="504" priority="95">
      <formula>MOD(ROW(),2)=0</formula>
    </cfRule>
  </conditionalFormatting>
  <conditionalFormatting sqref="B269:B270">
    <cfRule type="expression" dxfId="503" priority="93">
      <formula>MOD(ROW(),2)=0</formula>
    </cfRule>
  </conditionalFormatting>
  <conditionalFormatting sqref="B267">
    <cfRule type="expression" dxfId="502" priority="94">
      <formula>MOD(ROW(),2)=0</formula>
    </cfRule>
  </conditionalFormatting>
  <conditionalFormatting sqref="E261 H258:H261">
    <cfRule type="expression" dxfId="501" priority="103">
      <formula>MOD(ROW(),2)=0</formula>
    </cfRule>
  </conditionalFormatting>
  <conditionalFormatting sqref="E264:E265 H263:H265">
    <cfRule type="expression" dxfId="500" priority="101">
      <formula>MOD(ROW(),2)=0</formula>
    </cfRule>
  </conditionalFormatting>
  <conditionalFormatting sqref="B258:B260">
    <cfRule type="expression" dxfId="499" priority="96">
      <formula>MOD(ROW(),2)=0</formula>
    </cfRule>
  </conditionalFormatting>
  <conditionalFormatting sqref="B261">
    <cfRule type="expression" dxfId="498" priority="92">
      <formula>MOD(ROW(),2)=0</formula>
    </cfRule>
  </conditionalFormatting>
  <conditionalFormatting sqref="G261">
    <cfRule type="expression" dxfId="497" priority="90">
      <formula>MOD(ROW(),2)=0</formula>
    </cfRule>
  </conditionalFormatting>
  <conditionalFormatting sqref="G270">
    <cfRule type="expression" dxfId="496" priority="88">
      <formula>MOD(ROW(),2)=0</formula>
    </cfRule>
  </conditionalFormatting>
  <conditionalFormatting sqref="F269">
    <cfRule type="expression" dxfId="495" priority="81">
      <formula>#REF!="NO"</formula>
    </cfRule>
  </conditionalFormatting>
  <conditionalFormatting sqref="D277:G277">
    <cfRule type="expression" dxfId="494" priority="80">
      <formula>MOD(ROW(),2)=0</formula>
    </cfRule>
  </conditionalFormatting>
  <conditionalFormatting sqref="G148:G149">
    <cfRule type="expression" dxfId="493" priority="38">
      <formula>MOD(ROW(),2)=0</formula>
    </cfRule>
  </conditionalFormatting>
  <conditionalFormatting sqref="C22:D22">
    <cfRule type="expression" dxfId="492" priority="37">
      <formula>MOD(ROW(),2)=0</formula>
    </cfRule>
  </conditionalFormatting>
  <conditionalFormatting sqref="H22">
    <cfRule type="expression" dxfId="491" priority="34">
      <formula>MOD(ROW(),2)=0</formula>
    </cfRule>
  </conditionalFormatting>
  <conditionalFormatting sqref="E22">
    <cfRule type="expression" dxfId="490" priority="36">
      <formula>MOD(ROW(),2)=0</formula>
    </cfRule>
  </conditionalFormatting>
  <conditionalFormatting sqref="D38:D39 D32:D34 D28">
    <cfRule type="expression" dxfId="489" priority="33">
      <formula>MOD(ROW(),2)=0</formula>
    </cfRule>
  </conditionalFormatting>
  <conditionalFormatting sqref="C38:C39 C32:C34 C28">
    <cfRule type="expression" dxfId="488" priority="32">
      <formula>MOD(ROW(),2)=0</formula>
    </cfRule>
  </conditionalFormatting>
  <conditionalFormatting sqref="C45:C46">
    <cfRule type="expression" dxfId="487" priority="31">
      <formula>MOD(ROW(),2)=0</formula>
    </cfRule>
  </conditionalFormatting>
  <conditionalFormatting sqref="C47:C48">
    <cfRule type="expression" dxfId="486" priority="30">
      <formula>MOD(ROW(),2)=0</formula>
    </cfRule>
  </conditionalFormatting>
  <conditionalFormatting sqref="D75">
    <cfRule type="expression" dxfId="485" priority="29">
      <formula>MOD(ROW(),2)=0</formula>
    </cfRule>
  </conditionalFormatting>
  <conditionalFormatting sqref="C75">
    <cfRule type="expression" dxfId="484" priority="28">
      <formula>MOD(ROW(),2)=0</formula>
    </cfRule>
  </conditionalFormatting>
  <conditionalFormatting sqref="C89:C92 C96:C98 C100:C102 C106:C107 C104">
    <cfRule type="expression" dxfId="483" priority="27">
      <formula>MOD(ROW(),2)=0</formula>
    </cfRule>
  </conditionalFormatting>
  <conditionalFormatting sqref="D89:D92 D96:D98 D100:D102 D106:D107 D104">
    <cfRule type="expression" dxfId="482" priority="26">
      <formula>MOD(ROW(),2)=0</formula>
    </cfRule>
  </conditionalFormatting>
  <conditionalFormatting sqref="C86:D87">
    <cfRule type="expression" dxfId="481" priority="25">
      <formula>MOD(ROW(),2)=0</formula>
    </cfRule>
  </conditionalFormatting>
  <conditionalFormatting sqref="G123">
    <cfRule type="expression" dxfId="480" priority="23">
      <formula>MOD(ROW(),2)=0</formula>
    </cfRule>
  </conditionalFormatting>
  <conditionalFormatting sqref="B123">
    <cfRule type="expression" dxfId="479" priority="22">
      <formula>MOD(ROW(),2)=0</formula>
    </cfRule>
  </conditionalFormatting>
  <conditionalFormatting sqref="H123">
    <cfRule type="expression" dxfId="478" priority="21">
      <formula>MOD(ROW(),2)=0</formula>
    </cfRule>
  </conditionalFormatting>
  <conditionalFormatting sqref="C137:D137 C143:D145 C147:D147 C153:D154 C151:D151">
    <cfRule type="expression" dxfId="477" priority="20">
      <formula>MOD(ROW(),2)=0</formula>
    </cfRule>
  </conditionalFormatting>
  <conditionalFormatting sqref="C148:D149">
    <cfRule type="expression" dxfId="476" priority="19">
      <formula>MOD(ROW(),2)=0</formula>
    </cfRule>
  </conditionalFormatting>
  <conditionalFormatting sqref="C165:E165">
    <cfRule type="expression" dxfId="475" priority="18">
      <formula>MOD(ROW(),2)=0</formula>
    </cfRule>
  </conditionalFormatting>
  <conditionalFormatting sqref="C171:D173 C175:D177 C181:D182 C179:D179">
    <cfRule type="expression" dxfId="474" priority="17">
      <formula>MOD(ROW(),2)=0</formula>
    </cfRule>
  </conditionalFormatting>
  <conditionalFormatting sqref="C188:E188">
    <cfRule type="expression" dxfId="473" priority="16">
      <formula>MOD(ROW(),2)=0</formula>
    </cfRule>
  </conditionalFormatting>
  <conditionalFormatting sqref="C202:E202">
    <cfRule type="expression" dxfId="472" priority="15">
      <formula>MOD(ROW(),2)=0</formula>
    </cfRule>
  </conditionalFormatting>
  <conditionalFormatting sqref="C221:D221 C210:D212 C215:D215">
    <cfRule type="expression" dxfId="471" priority="14">
      <formula>MOD(ROW(),2)=0</formula>
    </cfRule>
  </conditionalFormatting>
  <conditionalFormatting sqref="C222:D222">
    <cfRule type="expression" dxfId="470" priority="11">
      <formula>MOD(ROW(),2)=0</formula>
    </cfRule>
  </conditionalFormatting>
  <conditionalFormatting sqref="C213:D213">
    <cfRule type="expression" dxfId="469" priority="13">
      <formula>MOD(ROW(),2)=0</formula>
    </cfRule>
  </conditionalFormatting>
  <conditionalFormatting sqref="C216:D217">
    <cfRule type="expression" dxfId="468" priority="12">
      <formula>MOD(ROW(),2)=0</formula>
    </cfRule>
  </conditionalFormatting>
  <conditionalFormatting sqref="C250:D250 C269:D269 C267:D267 C258:D260 C263:D263">
    <cfRule type="expression" dxfId="467" priority="9">
      <formula>MOD(ROW(),2)=0</formula>
    </cfRule>
  </conditionalFormatting>
  <conditionalFormatting sqref="C270:D270">
    <cfRule type="expression" dxfId="466" priority="6">
      <formula>MOD(ROW(),2)=0</formula>
    </cfRule>
  </conditionalFormatting>
  <conditionalFormatting sqref="C261:D261">
    <cfRule type="expression" dxfId="465" priority="8">
      <formula>MOD(ROW(),2)=0</formula>
    </cfRule>
  </conditionalFormatting>
  <conditionalFormatting sqref="C264:D265">
    <cfRule type="expression" dxfId="464" priority="7">
      <formula>MOD(ROW(),2)=0</formula>
    </cfRule>
  </conditionalFormatting>
  <conditionalFormatting sqref="G216">
    <cfRule type="expression" dxfId="463" priority="2">
      <formula>MOD(ROW(),2)=0</formula>
    </cfRule>
  </conditionalFormatting>
  <conditionalFormatting sqref="B219:E219">
    <cfRule type="expression" dxfId="462" priority="1">
      <formula>MOD(ROW(),2)=0</formula>
    </cfRule>
  </conditionalFormatting>
  <dataValidations count="4">
    <dataValidation type="decimal" allowBlank="1" showInputMessage="1" showErrorMessage="1" sqref="F172 F259 F211 F144 F97">
      <formula1>0</formula1>
      <formula2>100</formula2>
    </dataValidation>
    <dataValidation type="whole" allowBlank="1" showInputMessage="1" showErrorMessage="1" sqref="F143 F258 F171 F210 F96">
      <formula1>0</formula1>
      <formula2>365</formula2>
    </dataValidation>
    <dataValidation type="list" allowBlank="1" showInputMessage="1" showErrorMessage="1" sqref="B218 B266 B150 B103 B178">
      <formula1>#REF!</formula1>
    </dataValidation>
    <dataValidation type="list" allowBlank="1" showInputMessage="1" showErrorMessage="1" sqref="F51:F53 F55">
      <formula1>$F$32:$F$33</formula1>
    </dataValidation>
  </dataValidations>
  <pageMargins left="0.7" right="0.7" top="0.78740157499999996" bottom="0.78740157499999996" header="0.3" footer="0.3"/>
  <pageSetup paperSize="9" scale="54" orientation="landscape" r:id="rId1"/>
  <rowBreaks count="5" manualBreakCount="5">
    <brk id="40" min="1" max="8" man="1"/>
    <brk id="76" min="1" max="8" man="1"/>
    <brk id="118" min="1" max="8" man="1"/>
    <brk id="166" min="1" max="8" man="1"/>
    <brk id="223" min="1" max="8" man="1"/>
  </rowBreaks>
  <drawing r:id="rId2"/>
  <extLst>
    <ext xmlns:x14="http://schemas.microsoft.com/office/spreadsheetml/2009/9/main" uri="{78C0D931-6437-407d-A8EE-F0AAD7539E65}">
      <x14:conditionalFormattings>
        <x14:conditionalFormatting xmlns:xm="http://schemas.microsoft.com/office/excel/2006/main">
          <x14:cfRule type="expression" priority="637" id="{F1A114C1-92A7-48C7-ADC0-C96B5443FA43}">
            <xm:f>Hidden_Calculation!$R$25="YES"</xm:f>
            <x14:dxf>
              <font>
                <color theme="0"/>
              </font>
              <fill>
                <patternFill>
                  <bgColor theme="0"/>
                </patternFill>
              </fill>
              <border>
                <left/>
                <right/>
                <top/>
                <bottom/>
                <vertical/>
                <horizontal/>
              </border>
            </x14:dxf>
          </x14:cfRule>
          <xm:sqref>B30:B31 B36:B37 F32:F34 B78:B85 C40 F38:F39</xm:sqref>
        </x14:conditionalFormatting>
        <x14:conditionalFormatting xmlns:xm="http://schemas.microsoft.com/office/excel/2006/main">
          <x14:cfRule type="expression" priority="680" id="{4BACC117-10C8-4FD7-8C6F-14EE935882D2}">
            <xm:f>$B$4=Hidden_Lists!$C$32</xm:f>
            <x14:dxf>
              <font>
                <color theme="0"/>
              </font>
              <fill>
                <patternFill>
                  <bgColor theme="0"/>
                </patternFill>
              </fill>
              <border>
                <left/>
                <right/>
                <top/>
                <bottom/>
                <vertical/>
                <horizontal/>
              </border>
            </x14:dxf>
          </x14:cfRule>
          <xm:sqref>C161:G161</xm:sqref>
        </x14:conditionalFormatting>
        <x14:conditionalFormatting xmlns:xm="http://schemas.microsoft.com/office/excel/2006/main">
          <x14:cfRule type="expression" priority="258" id="{D7BF8577-976A-44E9-8781-5AACAC109900}">
            <xm:f>Hidden_Calculation!$R$25="YES"</xm:f>
            <x14:dxf>
              <font>
                <color theme="0"/>
              </font>
              <fill>
                <patternFill>
                  <bgColor theme="0"/>
                </patternFill>
              </fill>
              <border>
                <left/>
                <right/>
                <top/>
                <bottom/>
                <vertical/>
                <horizontal/>
              </border>
            </x14:dxf>
          </x14:cfRule>
          <xm:sqref>B54</xm:sqref>
        </x14:conditionalFormatting>
        <x14:conditionalFormatting xmlns:xm="http://schemas.microsoft.com/office/excel/2006/main">
          <x14:cfRule type="expression" priority="257" id="{21E32B48-9A65-4AF9-BC49-3EABDB85233F}">
            <xm:f>Hidden_Calculation!$R$25="YES"</xm:f>
            <x14:dxf>
              <font>
                <color theme="0"/>
              </font>
              <fill>
                <patternFill>
                  <bgColor theme="0"/>
                </patternFill>
              </fill>
              <border>
                <left/>
                <right/>
                <top/>
                <bottom/>
                <vertical/>
                <horizontal/>
              </border>
            </x14:dxf>
          </x14:cfRule>
          <xm:sqref>B66</xm:sqref>
        </x14:conditionalFormatting>
        <x14:conditionalFormatting xmlns:xm="http://schemas.microsoft.com/office/excel/2006/main">
          <x14:cfRule type="expression" priority="172" id="{27C46156-EF97-4EC0-9CDB-F690BECAE16B}">
            <xm:f>$B$4=Hidden_Lists!$C$32</xm:f>
            <x14:dxf>
              <font>
                <color theme="0"/>
              </font>
              <fill>
                <patternFill>
                  <bgColor theme="0"/>
                </patternFill>
              </fill>
              <border>
                <left/>
                <right/>
                <top/>
                <bottom/>
                <vertical/>
                <horizontal/>
              </border>
            </x14:dxf>
          </x14:cfRule>
          <xm:sqref>F188</xm:sqref>
        </x14:conditionalFormatting>
        <x14:conditionalFormatting xmlns:xm="http://schemas.microsoft.com/office/excel/2006/main">
          <x14:cfRule type="expression" priority="111" id="{F2F2B0F2-839B-4A80-97E4-56C229D49B52}">
            <xm:f>$B$4=Hidden_Lists!$C$32</xm:f>
            <x14:dxf>
              <font>
                <color theme="0"/>
              </font>
              <fill>
                <patternFill>
                  <bgColor theme="0"/>
                </patternFill>
              </fill>
              <border>
                <left/>
                <right/>
                <top/>
                <bottom/>
                <vertical/>
                <horizontal/>
              </border>
            </x14:dxf>
          </x14:cfRule>
          <xm:sqref>F236</xm:sqref>
        </x14:conditionalFormatting>
        <x14:conditionalFormatting xmlns:xm="http://schemas.microsoft.com/office/excel/2006/main">
          <x14:cfRule type="expression" priority="39" id="{0D84A23F-4846-4A74-8A77-6C78E0AC7C97}">
            <xm:f>Hidden_Calculation!$R$25="YES"</xm:f>
            <x14:dxf>
              <font>
                <color theme="0"/>
              </font>
              <fill>
                <patternFill>
                  <bgColor theme="0"/>
                </patternFill>
              </fill>
              <border>
                <left/>
                <right/>
                <top/>
                <bottom/>
                <vertical/>
                <horizontal/>
              </border>
            </x14:dxf>
          </x14:cfRule>
          <xm:sqref>B24</xm:sqref>
        </x14:conditionalFormatting>
      </x14:conditionalFormattings>
    </ext>
    <ext xmlns:x14="http://schemas.microsoft.com/office/spreadsheetml/2009/9/main" uri="{CCE6A557-97BC-4b89-ADB6-D9C93CAAB3DF}">
      <x14:dataValidations xmlns:xm="http://schemas.microsoft.com/office/excel/2006/main" count="17">
        <x14:dataValidation type="list" allowBlank="1" showInputMessage="1" showErrorMessage="1">
          <x14:formula1>
            <xm:f>Hidden_Lists!$C$18:$C$20</xm:f>
          </x14:formula1>
          <xm:sqref>F236</xm:sqref>
        </x14:dataValidation>
        <x14:dataValidation type="list" allowBlank="1" showInputMessage="1" showErrorMessage="1">
          <x14:formula1>
            <xm:f>Hidden_Lists!$C$23:$C$27</xm:f>
          </x14:formula1>
          <xm:sqref>F269 C133:G133 F106 F153 F181 C198:G198 F221 C246:G246</xm:sqref>
        </x14:dataValidation>
        <x14:dataValidation type="list" allowBlank="1" showInputMessage="1" showErrorMessage="1">
          <x14:formula1>
            <xm:f>Hidden_Lists!$C$30:$C$32</xm:f>
          </x14:formula1>
          <xm:sqref>F22</xm:sqref>
        </x14:dataValidation>
        <x14:dataValidation type="list" allowBlank="1" showInputMessage="1" showErrorMessage="1">
          <x14:formula1>
            <xm:f>Hidden_Database!$C$42:$C$53</xm:f>
          </x14:formula1>
          <xm:sqref>D114:G114 D227:G227 D275:G275</xm:sqref>
        </x14:dataValidation>
        <x14:dataValidation type="list" allowBlank="1" showInputMessage="1" showErrorMessage="1">
          <x14:formula1>
            <xm:f>Hidden_Lists!$E$152:$E$154</xm:f>
          </x14:formula1>
          <xm:sqref>D46</xm:sqref>
        </x14:dataValidation>
        <x14:dataValidation type="list" allowBlank="1" showInputMessage="1" showErrorMessage="1">
          <x14:formula1>
            <xm:f>Hidden_Lists!$C$152:$C$158</xm:f>
          </x14:formula1>
          <xm:sqref>D45</xm:sqref>
        </x14:dataValidation>
        <x14:dataValidation type="list" allowBlank="1" showInputMessage="1" showErrorMessage="1">
          <x14:formula1>
            <xm:f>Hidden_Database!$C$38:$C$41</xm:f>
          </x14:formula1>
          <xm:sqref>E86:G86</xm:sqref>
        </x14:dataValidation>
        <x14:dataValidation type="list" showInputMessage="1" showErrorMessage="1">
          <x14:formula1>
            <xm:f>Hidden_Lists!$C$23:$C$27</xm:f>
          </x14:formula1>
          <xm:sqref>C71:G71</xm:sqref>
        </x14:dataValidation>
        <x14:dataValidation type="list" allowBlank="1" showInputMessage="1" showErrorMessage="1">
          <x14:formula1>
            <xm:f>Hidden_Database!$C$67:$C$70</xm:f>
          </x14:formula1>
          <xm:sqref>C161:G161</xm:sqref>
        </x14:dataValidation>
        <x14:dataValidation type="list" allowBlank="1" showInputMessage="1" showErrorMessage="1">
          <x14:formula1>
            <xm:f>IF($F$58=Hidden_Lists!$C$19,Hidden_Database!$C$13:$C$14,Hidden_Database!$C$11:$C$12)</xm:f>
          </x14:formula1>
          <xm:sqref>C61:G61</xm:sqref>
        </x14:dataValidation>
        <x14:dataValidation type="list" allowBlank="1" showInputMessage="1" showErrorMessage="1">
          <x14:formula1>
            <xm:f>IF($F$123=Hidden_Lists!$C$19,Hidden_Database!$C$13:$C$14,Hidden_Database!$C$11:$C$12)</xm:f>
          </x14:formula1>
          <xm:sqref>C126:G126</xm:sqref>
        </x14:dataValidation>
        <x14:dataValidation type="list" allowBlank="1" showInputMessage="1" showErrorMessage="1">
          <x14:formula1>
            <xm:f>IF($F$236=Hidden_Lists!$C$19,Hidden_Database!$C$13:$C$14,Hidden_Database!$C$11:$C$12)</xm:f>
          </x14:formula1>
          <xm:sqref>C239:G239</xm:sqref>
        </x14:dataValidation>
        <x14:dataValidation type="list" allowBlank="1" showInputMessage="1" showErrorMessage="1">
          <x14:formula1>
            <xm:f>IF($F$188=Hidden_Lists!$C$19,Hidden_Database!$C$13:$C$14,Hidden_Database!$C$11:$C$12)</xm:f>
          </x14:formula1>
          <xm:sqref>C191:G191</xm:sqref>
        </x14:dataValidation>
        <x14:dataValidation type="list" allowBlank="1" showInputMessage="1" showErrorMessage="1">
          <x14:formula1>
            <xm:f>Hidden_Database!$C$57:$C$64</xm:f>
          </x14:formula1>
          <xm:sqref>B265</xm:sqref>
        </x14:dataValidation>
        <x14:dataValidation type="list" allowBlank="1" showInputMessage="1" showErrorMessage="1">
          <x14:formula1>
            <xm:f>Hidden_Lists!$G$152:$G$162</xm:f>
          </x14:formula1>
          <xm:sqref>D47:D48</xm:sqref>
        </x14:dataValidation>
        <x14:dataValidation type="list" allowBlank="1" showInputMessage="1" showErrorMessage="1">
          <x14:formula1>
            <xm:f>Hidden_Lists!$C$18:$C$20</xm:f>
          </x14:formula1>
          <xm:sqref>F58 F123 F188</xm:sqref>
        </x14:dataValidation>
        <x14:dataValidation type="list" allowBlank="1" showInputMessage="1" showErrorMessage="1">
          <x14:formula1>
            <xm:f>Hidden_Database!$C$57:$C$64</xm:f>
          </x14:formula1>
          <xm:sqref>B101 B102 B148 B149 B176 B177 B216 B217 B264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4"/>
  </sheetPr>
  <dimension ref="A2:EN142"/>
  <sheetViews>
    <sheetView zoomScaleNormal="100" workbookViewId="0">
      <selection activeCell="F126" sqref="F126"/>
    </sheetView>
  </sheetViews>
  <sheetFormatPr baseColWidth="10" defaultColWidth="12.5703125" defaultRowHeight="15"/>
  <cols>
    <col min="1" max="1" width="4.140625" style="421" customWidth="1"/>
    <col min="2" max="2" width="56.85546875" style="402" customWidth="1"/>
    <col min="3" max="8" width="20.7109375" style="402" customWidth="1"/>
    <col min="9" max="16384" width="12.5703125" style="402"/>
  </cols>
  <sheetData>
    <row r="2" spans="2:9" ht="18.75">
      <c r="B2" s="414" t="str">
        <f>VLOOKUP("General_Header",Hidden_Translations!$B$11:$K$1184,Hidden_Translations!$C$8,FALSE)</f>
        <v>Improving Cold Chain Energy Efficiency (ICCEE project)</v>
      </c>
      <c r="C2" s="415"/>
      <c r="D2" s="415"/>
      <c r="E2" s="415"/>
      <c r="F2" s="415"/>
      <c r="G2" s="415"/>
      <c r="H2" s="415"/>
      <c r="I2" s="415"/>
    </row>
    <row r="4" spans="2:9" ht="18.75">
      <c r="B4" s="416" t="str">
        <f>VLOOKUP("What_if_Header",Hidden_Translations!$B$11:$K$1184,Hidden_Translations!$C$8,FALSE)</f>
        <v>#2: Life Cycle Assessment: What if?</v>
      </c>
      <c r="C4" s="417"/>
      <c r="D4" s="417"/>
      <c r="E4" s="417"/>
      <c r="F4" s="417"/>
      <c r="G4" s="417"/>
      <c r="H4" s="417"/>
      <c r="I4" s="417"/>
    </row>
    <row r="5" spans="2:9" ht="15.95" customHeight="1">
      <c r="B5" s="418"/>
      <c r="C5" s="419"/>
      <c r="D5" s="419"/>
      <c r="E5" s="419"/>
      <c r="F5" s="419"/>
      <c r="G5" s="419"/>
      <c r="H5" s="419"/>
    </row>
    <row r="6" spans="2:9" ht="45" customHeight="1">
      <c r="B6" s="488" t="str">
        <f>VLOOKUP("What_if_Header_Text",Hidden_Translations!$B$11:$K$1184,Hidden_Translations!$C$8,FALSE)</f>
        <v>On this sheet, the environmental costs of the stages are provided in an aggregated form. For showing the impact of potential energy efficiency measures on these costs, you may change input values concerning the consumption on this sheet and see the effects on the overall costs of the cold supply chain. The Environmental Life Cycle Cost (E-LCC) delivers the cost related to to material flows such as enery, fuels and carbon dioxide emission but they do not include capital or labor costs.</v>
      </c>
      <c r="C6" s="488"/>
      <c r="D6" s="488"/>
      <c r="E6" s="488"/>
      <c r="F6" s="488"/>
      <c r="G6" s="488"/>
      <c r="H6" s="488"/>
      <c r="I6" s="488"/>
    </row>
    <row r="7" spans="2:9" ht="15" customHeight="1">
      <c r="B7" s="412"/>
      <c r="C7" s="413"/>
      <c r="D7" s="413"/>
      <c r="E7" s="413"/>
      <c r="F7" s="413"/>
      <c r="G7" s="413"/>
      <c r="H7" s="413"/>
      <c r="I7" s="410"/>
    </row>
    <row r="8" spans="2:9" ht="15" customHeight="1">
      <c r="B8" s="407" t="str">
        <f>VLOOKUP("What_if_Enviromental_Costs",Hidden_Translations!$B$11:$K$1184,Hidden_Translations!$C$8,FALSE)</f>
        <v>Environmental costs by stage</v>
      </c>
      <c r="C8" s="407"/>
      <c r="D8" s="407"/>
      <c r="E8" s="407"/>
      <c r="F8" s="407"/>
      <c r="G8" s="407"/>
      <c r="H8" s="407"/>
      <c r="I8" s="407"/>
    </row>
    <row r="9" spans="2:9" ht="15" customHeight="1">
      <c r="B9" s="412"/>
      <c r="C9" s="413"/>
      <c r="D9" s="413"/>
      <c r="E9" s="413"/>
      <c r="F9" s="413"/>
      <c r="G9" s="413"/>
      <c r="H9" s="413"/>
      <c r="I9" s="410"/>
    </row>
    <row r="10" spans="2:9" ht="30" customHeight="1">
      <c r="B10" s="488" t="str">
        <f>VLOOKUP("What_if_Enviromental_Costs_Text",Hidden_Translations!$B$11:$K$1184,Hidden_Translations!$C$8,FALSE)</f>
        <v xml:space="preserve">The table below shows the environmental life cycle costs (E-LCC) per stage, i.e. the environmental costs per ton of delivered product at the status quo without any energy efficiency measure. Please note that it focuses on the parts of local supply chains only. </v>
      </c>
      <c r="C10" s="488"/>
      <c r="D10" s="488"/>
      <c r="E10" s="488"/>
      <c r="F10" s="488"/>
      <c r="G10" s="488"/>
      <c r="H10" s="488"/>
      <c r="I10" s="410"/>
    </row>
    <row r="11" spans="2:9" ht="15" customHeight="1">
      <c r="B11" s="412"/>
      <c r="C11" s="413"/>
      <c r="D11" s="413"/>
      <c r="E11" s="413"/>
      <c r="F11" s="413"/>
      <c r="G11" s="413"/>
      <c r="H11" s="413"/>
      <c r="I11" s="410"/>
    </row>
    <row r="12" spans="2:9" ht="15" customHeight="1">
      <c r="D12" s="409" t="str">
        <f>VLOOKUP("What_if_Material_Flows",Hidden_Translations!$B$11:$K$1184,Hidden_Translations!$C$8,FALSE)</f>
        <v>Material flows</v>
      </c>
      <c r="E12" s="409" t="str">
        <f>VLOOKUP("What_if_GWP",Hidden_Translations!$B$11:$K$1184,Hidden_Translations!$C$8,FALSE)</f>
        <v>GWP</v>
      </c>
      <c r="F12" s="409" t="str">
        <f>VLOOKUP("What_if_E-LCC",Hidden_Translations!$B$11:$K$1184,Hidden_Translations!$C$8,FALSE)</f>
        <v>E-LCC</v>
      </c>
      <c r="G12" s="406"/>
      <c r="H12" s="406"/>
      <c r="I12" s="410"/>
    </row>
    <row r="13" spans="2:9" ht="15" customHeight="1">
      <c r="B13" s="411" t="str">
        <f>Input!B50</f>
        <v>#2: Single drop transport (supplier to producer)</v>
      </c>
      <c r="C13" s="411"/>
      <c r="D13" s="422" t="e">
        <f>SUM(C78:H78)/Hidden_Calculation!$DU$90*1000</f>
        <v>#DIV/0!</v>
      </c>
      <c r="E13" s="422" t="e">
        <f>SUM(C96:H96)/Hidden_Calculation!$DU$90*1000</f>
        <v>#DIV/0!</v>
      </c>
      <c r="F13" s="422" t="e">
        <f>D13+E13</f>
        <v>#DIV/0!</v>
      </c>
      <c r="G13" s="420" t="str">
        <f>VLOOKUP("Units_Euro_ton",Hidden_Translations!$B$11:$K$1184,Hidden_Translations!$C$8,FALSE)</f>
        <v>[Euro/ton]</v>
      </c>
      <c r="H13" s="411"/>
      <c r="I13" s="411"/>
    </row>
    <row r="14" spans="2:9" ht="15" customHeight="1">
      <c r="B14" s="411" t="str">
        <f>Input!B77</f>
        <v>#3: Producer</v>
      </c>
      <c r="C14" s="411"/>
      <c r="D14" s="422" t="e">
        <f>SUM(C79:H79)/Hidden_Calculation!$DU$90*1000</f>
        <v>#DIV/0!</v>
      </c>
      <c r="E14" s="422" t="e">
        <f>SUM(C97:H97)/Hidden_Calculation!$DU$90*1000</f>
        <v>#DIV/0!</v>
      </c>
      <c r="F14" s="422" t="e">
        <f t="shared" ref="F14:F18" si="0">D14+E14</f>
        <v>#DIV/0!</v>
      </c>
      <c r="G14" s="420" t="str">
        <f>G13</f>
        <v>[Euro/ton]</v>
      </c>
      <c r="H14" s="411"/>
      <c r="I14" s="411"/>
    </row>
    <row r="15" spans="2:9" ht="15" customHeight="1">
      <c r="B15" s="411" t="str">
        <f>Input!B184</f>
        <v>#4: Single drop transport (to distribution center)</v>
      </c>
      <c r="C15" s="411"/>
      <c r="D15" s="422" t="e">
        <f>SUM(C80:H80)/Hidden_Calculation!$DU$90*1000</f>
        <v>#DIV/0!</v>
      </c>
      <c r="E15" s="422" t="e">
        <f>SUM(C98:H98)/Hidden_Calculation!$DU$90*1000</f>
        <v>#DIV/0!</v>
      </c>
      <c r="F15" s="422" t="e">
        <f t="shared" si="0"/>
        <v>#DIV/0!</v>
      </c>
      <c r="G15" s="411" t="str">
        <f>G13</f>
        <v>[Euro/ton]</v>
      </c>
      <c r="H15" s="411"/>
      <c r="I15" s="411"/>
    </row>
    <row r="16" spans="2:9" ht="15" customHeight="1">
      <c r="B16" s="411" t="str">
        <f>Input!B204</f>
        <v>#5: Distribution center</v>
      </c>
      <c r="C16" s="411"/>
      <c r="D16" s="422" t="e">
        <f>SUM(C81:H81)/Hidden_Calculation!$DU$90*1000</f>
        <v>#DIV/0!</v>
      </c>
      <c r="E16" s="422" t="e">
        <f>SUM(C99:H99)/Hidden_Calculation!$DU$90*1000</f>
        <v>#DIV/0!</v>
      </c>
      <c r="F16" s="422" t="e">
        <f t="shared" si="0"/>
        <v>#DIV/0!</v>
      </c>
      <c r="G16" s="411" t="str">
        <f>G13</f>
        <v>[Euro/ton]</v>
      </c>
      <c r="H16" s="411"/>
      <c r="I16" s="411"/>
    </row>
    <row r="17" spans="2:9" ht="15" customHeight="1">
      <c r="B17" s="411" t="str">
        <f>Input!B232</f>
        <v>#6: Multi drop transport (distribution center to retailer)</v>
      </c>
      <c r="C17" s="411"/>
      <c r="D17" s="422" t="e">
        <f>SUM(C82:H82)/Hidden_Calculation!$DU$90*1000</f>
        <v>#DIV/0!</v>
      </c>
      <c r="E17" s="422" t="e">
        <f>SUM(C100:H100)/Hidden_Calculation!$DU$90*1000</f>
        <v>#DIV/0!</v>
      </c>
      <c r="F17" s="422" t="e">
        <f t="shared" si="0"/>
        <v>#DIV/0!</v>
      </c>
      <c r="G17" s="411" t="str">
        <f>G13</f>
        <v>[Euro/ton]</v>
      </c>
      <c r="H17" s="411"/>
      <c r="I17" s="411"/>
    </row>
    <row r="18" spans="2:9" ht="15" customHeight="1">
      <c r="B18" s="411" t="str">
        <f>Input!B252</f>
        <v>#7: Retailer</v>
      </c>
      <c r="C18" s="411"/>
      <c r="D18" s="422" t="e">
        <f>SUM(C83:H83)/Hidden_Calculation!$DU$90*1000</f>
        <v>#DIV/0!</v>
      </c>
      <c r="E18" s="422" t="e">
        <f>SUM(C101:H101)/Hidden_Calculation!$DU$90*1000</f>
        <v>#DIV/0!</v>
      </c>
      <c r="F18" s="422" t="e">
        <f t="shared" si="0"/>
        <v>#DIV/0!</v>
      </c>
      <c r="G18" s="411" t="str">
        <f>G13</f>
        <v>[Euro/ton]</v>
      </c>
      <c r="H18" s="411"/>
      <c r="I18" s="411"/>
    </row>
    <row r="19" spans="2:9" ht="15" customHeight="1">
      <c r="B19" s="423" t="str">
        <f>VLOOKUP("What_if_Total_LCC",Hidden_Translations!$B$11:$K$1184,Hidden_Translations!$C$8,FALSE)</f>
        <v xml:space="preserve">Total environmental LCC per ton delivered </v>
      </c>
      <c r="C19" s="423"/>
      <c r="D19" s="423"/>
      <c r="E19" s="423"/>
      <c r="F19" s="424" t="e">
        <f>SUM(F13:F18)</f>
        <v>#DIV/0!</v>
      </c>
      <c r="G19" s="425" t="str">
        <f>G13</f>
        <v>[Euro/ton]</v>
      </c>
      <c r="H19" s="423"/>
      <c r="I19" s="423"/>
    </row>
    <row r="20" spans="2:9" ht="15" customHeight="1">
      <c r="B20" s="412"/>
      <c r="C20" s="413"/>
      <c r="D20" s="413"/>
      <c r="E20" s="413"/>
      <c r="F20" s="413"/>
      <c r="G20" s="413"/>
      <c r="H20" s="413"/>
      <c r="I20" s="410"/>
    </row>
    <row r="21" spans="2:9" ht="15" customHeight="1">
      <c r="B21" s="412"/>
      <c r="C21" s="413"/>
      <c r="D21" s="413"/>
      <c r="E21" s="413"/>
      <c r="F21" s="413"/>
      <c r="G21" s="413"/>
      <c r="H21" s="413"/>
      <c r="I21" s="410"/>
    </row>
    <row r="22" spans="2:9" ht="15" customHeight="1">
      <c r="B22" s="412"/>
      <c r="C22" s="413"/>
      <c r="D22" s="413"/>
      <c r="E22" s="413"/>
      <c r="F22" s="413"/>
      <c r="G22" s="413"/>
      <c r="H22" s="413"/>
      <c r="I22" s="410"/>
    </row>
    <row r="23" spans="2:9" ht="15" customHeight="1">
      <c r="B23" s="412"/>
      <c r="C23" s="413"/>
      <c r="D23" s="413"/>
      <c r="E23" s="413"/>
      <c r="F23" s="413"/>
      <c r="G23" s="413"/>
      <c r="H23" s="413"/>
      <c r="I23" s="410"/>
    </row>
    <row r="24" spans="2:9" ht="15" customHeight="1">
      <c r="B24" s="412"/>
      <c r="C24" s="413"/>
      <c r="D24" s="413"/>
      <c r="E24" s="413"/>
      <c r="F24" s="413"/>
      <c r="G24" s="413"/>
      <c r="H24" s="413"/>
      <c r="I24" s="410"/>
    </row>
    <row r="25" spans="2:9" ht="15" customHeight="1">
      <c r="B25" s="412"/>
      <c r="C25" s="413"/>
      <c r="D25" s="413"/>
      <c r="E25" s="413"/>
      <c r="F25" s="413"/>
      <c r="G25" s="413"/>
      <c r="H25" s="413"/>
      <c r="I25" s="410"/>
    </row>
    <row r="26" spans="2:9" ht="15" customHeight="1">
      <c r="B26" s="412"/>
      <c r="C26" s="413"/>
      <c r="D26" s="413"/>
      <c r="E26" s="413"/>
      <c r="F26" s="413"/>
      <c r="G26" s="413"/>
      <c r="H26" s="413"/>
      <c r="I26" s="410"/>
    </row>
    <row r="27" spans="2:9" ht="15" customHeight="1">
      <c r="B27" s="412"/>
      <c r="C27" s="413"/>
      <c r="D27" s="413"/>
      <c r="E27" s="413"/>
      <c r="F27" s="413"/>
      <c r="G27" s="413"/>
      <c r="H27" s="413"/>
      <c r="I27" s="410"/>
    </row>
    <row r="28" spans="2:9" ht="15" customHeight="1">
      <c r="B28" s="412"/>
      <c r="C28" s="413"/>
      <c r="D28" s="413"/>
      <c r="E28" s="413"/>
      <c r="F28" s="413"/>
      <c r="G28" s="413"/>
      <c r="H28" s="413"/>
      <c r="I28" s="410"/>
    </row>
    <row r="29" spans="2:9" ht="15" customHeight="1">
      <c r="B29" s="412"/>
      <c r="C29" s="413"/>
      <c r="D29" s="413"/>
      <c r="E29" s="413"/>
      <c r="F29" s="413"/>
      <c r="G29" s="413"/>
      <c r="H29" s="413"/>
      <c r="I29" s="410"/>
    </row>
    <row r="30" spans="2:9" ht="15" customHeight="1">
      <c r="B30" s="412"/>
      <c r="C30" s="413"/>
      <c r="D30" s="413"/>
      <c r="E30" s="413"/>
      <c r="F30" s="413"/>
      <c r="G30" s="413"/>
      <c r="H30" s="413"/>
      <c r="I30" s="410"/>
    </row>
    <row r="31" spans="2:9" ht="15" customHeight="1">
      <c r="B31" s="412"/>
      <c r="C31" s="413"/>
      <c r="D31" s="413"/>
      <c r="E31" s="413"/>
      <c r="F31" s="413"/>
      <c r="G31" s="413"/>
      <c r="H31" s="413"/>
      <c r="I31" s="410"/>
    </row>
    <row r="32" spans="2:9" ht="15" customHeight="1">
      <c r="B32" s="412"/>
      <c r="C32" s="413"/>
      <c r="D32" s="413"/>
      <c r="E32" s="413"/>
      <c r="F32" s="413"/>
      <c r="G32" s="413"/>
      <c r="H32" s="413"/>
      <c r="I32" s="410"/>
    </row>
    <row r="33" spans="2:144" ht="15" customHeight="1">
      <c r="B33" s="412"/>
      <c r="C33" s="413"/>
      <c r="D33" s="413"/>
      <c r="E33" s="413"/>
      <c r="F33" s="413"/>
      <c r="G33" s="413"/>
      <c r="H33" s="413"/>
      <c r="I33" s="410"/>
    </row>
    <row r="34" spans="2:144" ht="15" customHeight="1">
      <c r="B34" s="412"/>
      <c r="C34" s="413"/>
      <c r="D34" s="413"/>
      <c r="E34" s="413"/>
      <c r="F34" s="413"/>
      <c r="G34" s="413"/>
      <c r="H34" s="413"/>
      <c r="I34" s="410"/>
    </row>
    <row r="35" spans="2:144" ht="15" customHeight="1">
      <c r="B35" s="412"/>
      <c r="C35" s="413"/>
      <c r="D35" s="413"/>
      <c r="E35" s="413"/>
      <c r="F35" s="413"/>
      <c r="G35" s="413"/>
      <c r="H35" s="413"/>
      <c r="I35" s="410"/>
    </row>
    <row r="36" spans="2:144" ht="15" customHeight="1">
      <c r="B36" s="412"/>
      <c r="C36" s="413"/>
      <c r="D36" s="413"/>
      <c r="E36" s="413"/>
      <c r="F36" s="413"/>
      <c r="G36" s="413"/>
      <c r="H36" s="413"/>
      <c r="I36" s="410"/>
    </row>
    <row r="37" spans="2:144" ht="15" customHeight="1">
      <c r="B37" s="412"/>
      <c r="C37" s="413"/>
      <c r="D37" s="413"/>
      <c r="E37" s="413"/>
      <c r="F37" s="413"/>
      <c r="G37" s="413"/>
      <c r="H37" s="413"/>
      <c r="I37" s="410"/>
    </row>
    <row r="38" spans="2:144" ht="15" customHeight="1">
      <c r="B38" s="412"/>
      <c r="C38" s="413"/>
      <c r="D38" s="413"/>
      <c r="E38" s="413"/>
      <c r="F38" s="413"/>
      <c r="G38" s="413"/>
      <c r="H38" s="413"/>
      <c r="I38" s="410"/>
    </row>
    <row r="39" spans="2:144" ht="15" customHeight="1">
      <c r="B39" s="412"/>
      <c r="C39" s="413"/>
      <c r="D39" s="413"/>
      <c r="E39" s="413"/>
      <c r="F39" s="413"/>
      <c r="G39" s="413"/>
      <c r="H39" s="413"/>
      <c r="I39" s="410"/>
    </row>
    <row r="40" spans="2:144" ht="15" customHeight="1">
      <c r="B40" s="412"/>
      <c r="C40" s="413"/>
      <c r="D40" s="413"/>
      <c r="E40" s="413"/>
      <c r="F40" s="413"/>
      <c r="G40" s="413"/>
      <c r="H40" s="413"/>
      <c r="I40" s="410"/>
    </row>
    <row r="41" spans="2:144" ht="15" customHeight="1">
      <c r="B41" s="412"/>
      <c r="C41" s="413"/>
      <c r="D41" s="413"/>
      <c r="E41" s="413"/>
      <c r="F41" s="413"/>
      <c r="G41" s="413"/>
      <c r="H41" s="413"/>
      <c r="I41" s="410"/>
    </row>
    <row r="42" spans="2:144" ht="15" customHeight="1">
      <c r="B42" s="412"/>
      <c r="C42" s="413"/>
      <c r="D42" s="413"/>
      <c r="E42" s="413"/>
      <c r="F42" s="413"/>
      <c r="G42" s="413"/>
      <c r="H42" s="413"/>
      <c r="I42" s="410"/>
    </row>
    <row r="43" spans="2:144" ht="15" customHeight="1">
      <c r="B43" s="412"/>
      <c r="C43" s="413"/>
      <c r="D43" s="413"/>
      <c r="E43" s="413"/>
      <c r="F43" s="413"/>
      <c r="G43" s="413"/>
      <c r="H43" s="413"/>
      <c r="I43" s="410"/>
    </row>
    <row r="44" spans="2:144" ht="15" customHeight="1">
      <c r="B44" s="412"/>
      <c r="C44" s="413"/>
      <c r="D44" s="413"/>
      <c r="E44" s="413"/>
      <c r="F44" s="413"/>
      <c r="G44" s="413"/>
      <c r="H44" s="413"/>
      <c r="I44" s="410"/>
    </row>
    <row r="45" spans="2:144" ht="15" customHeight="1">
      <c r="B45" s="412"/>
      <c r="C45" s="413"/>
      <c r="D45" s="413"/>
      <c r="E45" s="413"/>
      <c r="F45" s="413"/>
      <c r="G45" s="413"/>
      <c r="H45" s="413"/>
      <c r="I45" s="410"/>
    </row>
    <row r="46" spans="2:144" ht="15" customHeight="1">
      <c r="B46" s="407" t="str">
        <f>VLOOKUP("What_if_Sensitivity_Analysis",Hidden_Translations!$B$11:$K$1184,Hidden_Translations!$C$8,FALSE)</f>
        <v>Sensitivity analysis</v>
      </c>
      <c r="C46" s="407"/>
      <c r="D46" s="407"/>
      <c r="E46" s="407"/>
      <c r="F46" s="407"/>
      <c r="G46" s="407"/>
      <c r="H46" s="407"/>
      <c r="I46" s="407"/>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5"/>
      <c r="BR46" s="405"/>
      <c r="BS46" s="405"/>
      <c r="BT46" s="405"/>
      <c r="BU46" s="405"/>
      <c r="BV46" s="405"/>
      <c r="BW46" s="405"/>
      <c r="BX46" s="405"/>
      <c r="BY46" s="405"/>
      <c r="BZ46" s="405"/>
      <c r="CA46" s="405"/>
      <c r="CB46" s="405"/>
      <c r="CC46" s="405"/>
      <c r="CD46" s="405"/>
      <c r="CE46" s="405"/>
      <c r="CF46" s="405"/>
      <c r="CG46" s="405"/>
      <c r="CH46" s="405"/>
      <c r="CI46" s="405"/>
      <c r="CJ46" s="405"/>
      <c r="CK46" s="405"/>
      <c r="CL46" s="405"/>
      <c r="CM46" s="405"/>
      <c r="CN46" s="405"/>
      <c r="CO46" s="405"/>
      <c r="CP46" s="405"/>
      <c r="CQ46" s="405"/>
      <c r="CR46" s="405"/>
      <c r="CS46" s="405"/>
      <c r="CT46" s="405"/>
      <c r="CU46" s="405"/>
      <c r="CV46" s="405"/>
      <c r="CW46" s="405"/>
      <c r="CX46" s="405"/>
      <c r="CY46" s="405"/>
      <c r="CZ46" s="405"/>
      <c r="DA46" s="405"/>
      <c r="DB46" s="405"/>
      <c r="DC46" s="405"/>
      <c r="DD46" s="405"/>
      <c r="DE46" s="405"/>
      <c r="DF46" s="405"/>
      <c r="DG46" s="405"/>
      <c r="DH46" s="405"/>
      <c r="DI46" s="405"/>
      <c r="DJ46" s="405"/>
      <c r="DK46" s="405"/>
      <c r="DL46" s="405"/>
      <c r="DM46" s="405"/>
      <c r="DN46" s="405"/>
      <c r="DO46" s="405"/>
      <c r="DP46" s="405"/>
      <c r="DQ46" s="405"/>
      <c r="DR46" s="405"/>
      <c r="DS46" s="405"/>
      <c r="DT46" s="405"/>
      <c r="DU46" s="405"/>
      <c r="DV46" s="405"/>
      <c r="DW46" s="405"/>
      <c r="DX46" s="405"/>
      <c r="DY46" s="405"/>
      <c r="DZ46" s="405"/>
      <c r="EA46" s="405"/>
      <c r="EB46" s="405"/>
      <c r="EC46" s="405"/>
      <c r="ED46" s="405"/>
      <c r="EE46" s="405"/>
      <c r="EF46" s="405"/>
      <c r="EG46" s="405"/>
      <c r="EH46" s="405"/>
      <c r="EI46" s="405"/>
      <c r="EJ46" s="405"/>
      <c r="EK46" s="405"/>
      <c r="EL46" s="405"/>
      <c r="EM46" s="405"/>
      <c r="EN46" s="405"/>
    </row>
    <row r="47" spans="2:144" ht="15" customHeight="1">
      <c r="B47" s="125"/>
      <c r="C47" s="125"/>
      <c r="D47" s="125"/>
      <c r="E47" s="125"/>
      <c r="F47" s="125"/>
      <c r="G47" s="125"/>
      <c r="H47" s="125"/>
    </row>
    <row r="48" spans="2:144" ht="30" customHeight="1">
      <c r="B48" s="488" t="str">
        <f>VLOOKUP("What_if_Sensitivity_Analysis_Text",Hidden_Translations!$B$11:$K$1184,Hidden_Translations!$C$8,FALSE)</f>
        <v>Below you may specify potential savings from implementing energy efficiency meausres along the cold supply chain and the stage where these changes apply. Savings should be indicated by negative values.</v>
      </c>
      <c r="C48" s="488"/>
      <c r="D48" s="488"/>
      <c r="E48" s="488"/>
      <c r="F48" s="488"/>
      <c r="G48" s="488"/>
      <c r="H48" s="488"/>
      <c r="I48" s="488"/>
    </row>
    <row r="49" spans="2:11" ht="15" customHeight="1">
      <c r="B49" s="125"/>
      <c r="C49" s="125"/>
      <c r="D49" s="125"/>
      <c r="E49" s="125"/>
      <c r="F49" s="125"/>
      <c r="G49" s="125"/>
      <c r="H49" s="125"/>
    </row>
    <row r="50" spans="2:11">
      <c r="B50" s="280" t="str">
        <f>VLOOKUP("What_if_domain",Hidden_Translations!$B$11:$K$1184,Hidden_Translations!$C$8,FALSE)</f>
        <v>Domain of change</v>
      </c>
      <c r="C50" s="129"/>
      <c r="D50" s="129"/>
      <c r="E50" s="129"/>
      <c r="F50" s="282" t="str">
        <f>VLOOKUP("What_if_Change",Hidden_Translations!$B$11:$K$1184,Hidden_Translations!$C$8,FALSE)</f>
        <v>Change</v>
      </c>
      <c r="G50" s="125"/>
    </row>
    <row r="51" spans="2:11">
      <c r="B51" s="411" t="str">
        <f>VLOOKUP("What_if_Change_Electricity",Hidden_Translations!$B$11:$K$1184,Hidden_Translations!$C$8,FALSE)</f>
        <v>Change in electricity consumption</v>
      </c>
      <c r="C51" s="411"/>
      <c r="D51" s="411"/>
      <c r="E51" s="411"/>
      <c r="F51" s="303">
        <v>0</v>
      </c>
      <c r="G51" s="411" t="s">
        <v>219</v>
      </c>
      <c r="H51" s="411"/>
      <c r="I51" s="411"/>
    </row>
    <row r="52" spans="2:11">
      <c r="B52" s="411" t="str">
        <f>VLOOKUP("What_if_Change_Other",Hidden_Translations!$B$11:$K$1184,Hidden_Translations!$C$8,FALSE)</f>
        <v>Change in other energy sources</v>
      </c>
      <c r="C52" s="411"/>
      <c r="D52" s="411"/>
      <c r="E52" s="411"/>
      <c r="F52" s="303">
        <v>0</v>
      </c>
      <c r="G52" s="411" t="s">
        <v>219</v>
      </c>
      <c r="H52" s="411"/>
      <c r="I52" s="411"/>
    </row>
    <row r="53" spans="2:11">
      <c r="B53" s="411" t="str">
        <f>VLOOKUP("What_if_Change_Water",Hidden_Translations!$B$11:$K$1184,Hidden_Translations!$C$8,FALSE)</f>
        <v>Change in water consumption</v>
      </c>
      <c r="C53" s="411"/>
      <c r="D53" s="411"/>
      <c r="E53" s="411"/>
      <c r="F53" s="303">
        <v>0</v>
      </c>
      <c r="G53" s="411" t="s">
        <v>219</v>
      </c>
      <c r="H53" s="411"/>
      <c r="I53" s="411"/>
    </row>
    <row r="54" spans="2:11">
      <c r="B54" s="411" t="str">
        <f>VLOOKUP("What_if_Change_Refrigerant",Hidden_Translations!$B$11:$K$1184,Hidden_Translations!$C$8,FALSE)</f>
        <v>Change in refrigerant pre-charge</v>
      </c>
      <c r="C54" s="411"/>
      <c r="D54" s="411"/>
      <c r="E54" s="411"/>
      <c r="F54" s="303">
        <v>0</v>
      </c>
      <c r="G54" s="411" t="s">
        <v>219</v>
      </c>
      <c r="H54" s="411"/>
      <c r="I54" s="411"/>
    </row>
    <row r="55" spans="2:11">
      <c r="B55" s="411"/>
      <c r="C55" s="411"/>
      <c r="D55" s="411"/>
      <c r="E55" s="411"/>
      <c r="F55" s="411"/>
      <c r="G55" s="411"/>
      <c r="H55" s="411"/>
      <c r="I55" s="411"/>
    </row>
    <row r="56" spans="2:11">
      <c r="B56" s="420" t="str">
        <f>VLOOKUP("What_if_Which_Part",Hidden_Translations!$B$11:$K$1184,Hidden_Translations!$C$8,FALSE)</f>
        <v>Which step of the chain does the EEM affect?</v>
      </c>
      <c r="C56" s="420"/>
      <c r="D56" s="495"/>
      <c r="E56" s="496"/>
      <c r="F56" s="497"/>
      <c r="G56" s="420" t="str">
        <f>VLOOKUP("Units_Selection",Hidden_Translations!$B$11:$K$1184,Hidden_Translations!$C$8,FALSE)</f>
        <v>[Selection]</v>
      </c>
      <c r="H56" s="420"/>
      <c r="I56" s="420"/>
    </row>
    <row r="58" spans="2:11">
      <c r="B58" s="408" t="str">
        <f>VLOOKUP("What_if_Changes_Costs",Hidden_Translations!$B$11:$K$1184,Hidden_Translations!$C$8,FALSE)</f>
        <v>Changes to the environmental life cycle costs</v>
      </c>
      <c r="C58" s="408"/>
      <c r="D58" s="408"/>
      <c r="E58" s="408"/>
      <c r="F58" s="408"/>
      <c r="G58" s="408"/>
      <c r="H58" s="408"/>
      <c r="I58" s="408"/>
    </row>
    <row r="59" spans="2:11">
      <c r="K59" s="406"/>
    </row>
    <row r="60" spans="2:11">
      <c r="D60" s="409" t="str">
        <f>D12</f>
        <v>Material flows</v>
      </c>
      <c r="E60" s="409" t="str">
        <f>E12</f>
        <v>GWP</v>
      </c>
      <c r="F60" s="409" t="str">
        <f>F12</f>
        <v>E-LCC</v>
      </c>
      <c r="G60" s="406"/>
      <c r="H60" s="406"/>
      <c r="I60" s="410"/>
      <c r="K60" s="406"/>
    </row>
    <row r="61" spans="2:11">
      <c r="B61" s="411" t="str">
        <f>B13</f>
        <v>#2: Single drop transport (supplier to producer)</v>
      </c>
      <c r="C61" s="411"/>
      <c r="D61" s="422" t="e">
        <f>IF(B61=$D$56,SUM(C86:H86)/Hidden_Calculation!$DU$90*1000,D13)</f>
        <v>#DIV/0!</v>
      </c>
      <c r="E61" s="422" t="e">
        <f>IF(B61=$D$56,SUM(C104:H104)/Hidden_Calculation!$DU$90*1000,E13)</f>
        <v>#DIV/0!</v>
      </c>
      <c r="F61" s="422" t="e">
        <f>D61+E61</f>
        <v>#DIV/0!</v>
      </c>
      <c r="G61" s="411" t="str">
        <f>G13</f>
        <v>[Euro/ton]</v>
      </c>
      <c r="H61" s="411"/>
      <c r="I61" s="411"/>
      <c r="K61" s="406"/>
    </row>
    <row r="62" spans="2:11">
      <c r="B62" s="411" t="str">
        <f t="shared" ref="B62:B66" si="1">B14</f>
        <v>#3: Producer</v>
      </c>
      <c r="C62" s="411"/>
      <c r="D62" s="422" t="e">
        <f>IF(B62=$D$56,SUM(C87:H87)/Hidden_Calculation!$DU$90*1000,D14)</f>
        <v>#DIV/0!</v>
      </c>
      <c r="E62" s="422" t="e">
        <f>IF(B62=$D$56,SUM(C105:H105)/Hidden_Calculation!$DU$90*1000,E14)</f>
        <v>#DIV/0!</v>
      </c>
      <c r="F62" s="422" t="e">
        <f t="shared" ref="F62:F66" si="2">D62+E62</f>
        <v>#DIV/0!</v>
      </c>
      <c r="G62" s="411" t="str">
        <f>G13</f>
        <v>[Euro/ton]</v>
      </c>
      <c r="H62" s="411"/>
      <c r="I62" s="411"/>
      <c r="K62" s="406"/>
    </row>
    <row r="63" spans="2:11">
      <c r="B63" s="411" t="str">
        <f t="shared" si="1"/>
        <v>#4: Single drop transport (to distribution center)</v>
      </c>
      <c r="C63" s="411"/>
      <c r="D63" s="422" t="e">
        <f>IF(B63=$D$56,SUM(C88:H88)/Hidden_Calculation!$DU$90*1000,D15)</f>
        <v>#DIV/0!</v>
      </c>
      <c r="E63" s="422" t="e">
        <f>IF(B63=$D$56,SUM(C106:H106)/Hidden_Calculation!$DU$90*1000,E15)</f>
        <v>#DIV/0!</v>
      </c>
      <c r="F63" s="422" t="e">
        <f t="shared" si="2"/>
        <v>#DIV/0!</v>
      </c>
      <c r="G63" s="411" t="str">
        <f>G13</f>
        <v>[Euro/ton]</v>
      </c>
      <c r="H63" s="411"/>
      <c r="I63" s="411"/>
      <c r="K63" s="406"/>
    </row>
    <row r="64" spans="2:11">
      <c r="B64" s="411" t="str">
        <f t="shared" si="1"/>
        <v>#5: Distribution center</v>
      </c>
      <c r="C64" s="411"/>
      <c r="D64" s="422" t="e">
        <f>IF(B64=$D$56,SUM(C89:H89)/Hidden_Calculation!$DU$90*1000,D16)</f>
        <v>#DIV/0!</v>
      </c>
      <c r="E64" s="422" t="e">
        <f>IF(B64=$D$56,SUM(C107:H107)/Hidden_Calculation!$DU$90*1000,E16)</f>
        <v>#DIV/0!</v>
      </c>
      <c r="F64" s="422" t="e">
        <f t="shared" si="2"/>
        <v>#DIV/0!</v>
      </c>
      <c r="G64" s="411" t="str">
        <f>G13</f>
        <v>[Euro/ton]</v>
      </c>
      <c r="H64" s="411"/>
      <c r="I64" s="411"/>
      <c r="K64" s="406"/>
    </row>
    <row r="65" spans="2:11">
      <c r="B65" s="411" t="str">
        <f t="shared" si="1"/>
        <v>#6: Multi drop transport (distribution center to retailer)</v>
      </c>
      <c r="C65" s="411"/>
      <c r="D65" s="422" t="e">
        <f>IF(B65=$D$56,SUM(C90:H90)/Hidden_Calculation!$DU$90*1000,D17)</f>
        <v>#DIV/0!</v>
      </c>
      <c r="E65" s="422" t="e">
        <f>IF(B65=$D$56,SUM(C108:H108)/Hidden_Calculation!$DU$90*1000,E17)</f>
        <v>#DIV/0!</v>
      </c>
      <c r="F65" s="422" t="e">
        <f t="shared" si="2"/>
        <v>#DIV/0!</v>
      </c>
      <c r="G65" s="411" t="str">
        <f>G13</f>
        <v>[Euro/ton]</v>
      </c>
      <c r="H65" s="411"/>
      <c r="I65" s="411"/>
      <c r="K65" s="406"/>
    </row>
    <row r="66" spans="2:11">
      <c r="B66" s="411" t="str">
        <f t="shared" si="1"/>
        <v>#7: Retailer</v>
      </c>
      <c r="C66" s="411"/>
      <c r="D66" s="422" t="e">
        <f>IF(B66=$D$56,SUM(C91:H91)/Hidden_Calculation!$DU$90*1000,D18)</f>
        <v>#DIV/0!</v>
      </c>
      <c r="E66" s="422" t="e">
        <f>IF(B66=$D$56,SUM(C109:H109)/Hidden_Calculation!$DU$90*1000,E18)</f>
        <v>#DIV/0!</v>
      </c>
      <c r="F66" s="422" t="e">
        <f t="shared" si="2"/>
        <v>#DIV/0!</v>
      </c>
      <c r="G66" s="411" t="str">
        <f>G13</f>
        <v>[Euro/ton]</v>
      </c>
      <c r="H66" s="411"/>
      <c r="I66" s="411"/>
      <c r="K66" s="406"/>
    </row>
    <row r="67" spans="2:11">
      <c r="B67" s="423" t="str">
        <f>B19</f>
        <v xml:space="preserve">Total environmental LCC per ton delivered </v>
      </c>
      <c r="C67" s="423"/>
      <c r="D67" s="423"/>
      <c r="E67" s="423"/>
      <c r="F67" s="422" t="e">
        <f>SUM(F61:F66)</f>
        <v>#DIV/0!</v>
      </c>
      <c r="G67" s="425" t="str">
        <f>G13</f>
        <v>[Euro/ton]</v>
      </c>
      <c r="H67" s="423"/>
      <c r="I67" s="423"/>
      <c r="K67" s="406"/>
    </row>
    <row r="68" spans="2:11">
      <c r="K68" s="406"/>
    </row>
    <row r="69" spans="2:11">
      <c r="B69" s="420" t="str">
        <f>VLOOKUP("What_if_Changes_Costs_Text",Hidden_Translations!$B$11:$K$1184,Hidden_Translations!$C$8,FALSE)</f>
        <v>Change to the environmental costs for the entire chain compared to situation without measure</v>
      </c>
      <c r="C69" s="411"/>
      <c r="D69" s="423"/>
      <c r="E69" s="423"/>
      <c r="F69" s="426" t="e">
        <f>-(F19-F67)/F19</f>
        <v>#DIV/0!</v>
      </c>
      <c r="G69" s="411" t="s">
        <v>219</v>
      </c>
      <c r="H69" s="411"/>
      <c r="I69" s="411"/>
      <c r="K69" s="406"/>
    </row>
    <row r="70" spans="2:11">
      <c r="B70" s="406"/>
      <c r="C70" s="406"/>
      <c r="D70" s="406"/>
      <c r="E70" s="406"/>
      <c r="F70" s="406"/>
      <c r="G70" s="406"/>
      <c r="H70" s="406"/>
      <c r="I70" s="406"/>
    </row>
    <row r="71" spans="2:11">
      <c r="B71" s="407" t="str">
        <f>VLOOKUP("What_if_Sensitivity_Calculation",Hidden_Translations!$B$11:$K$1184,Hidden_Translations!$C$8,FALSE)</f>
        <v>Sensitivity calculation</v>
      </c>
      <c r="C71" s="407"/>
      <c r="D71" s="407"/>
      <c r="E71" s="407"/>
      <c r="F71" s="407"/>
      <c r="G71" s="407"/>
      <c r="H71" s="407"/>
      <c r="I71" s="407"/>
    </row>
    <row r="72" spans="2:11">
      <c r="B72" s="406"/>
      <c r="C72" s="406"/>
      <c r="D72" s="406"/>
      <c r="E72" s="406"/>
      <c r="F72" s="406"/>
      <c r="G72" s="406"/>
      <c r="H72" s="406"/>
      <c r="I72" s="406"/>
    </row>
    <row r="73" spans="2:11">
      <c r="B73" s="406" t="str">
        <f>VLOOKUP("What_if_Sensitivity_Calculation_Text",Hidden_Translations!$B$11:$K$1184,Hidden_Translations!$C$8,FALSE)</f>
        <v>Below you find the detailed costs for the environmental life cycle costs with and without measure for information.</v>
      </c>
      <c r="C73" s="406"/>
      <c r="D73" s="406"/>
      <c r="E73" s="406"/>
      <c r="F73" s="406"/>
      <c r="G73" s="406"/>
      <c r="H73" s="406"/>
      <c r="I73" s="406"/>
    </row>
    <row r="74" spans="2:11">
      <c r="B74" s="406"/>
      <c r="C74" s="406"/>
      <c r="D74" s="406"/>
      <c r="E74" s="406"/>
      <c r="F74" s="406"/>
      <c r="G74" s="406"/>
      <c r="H74" s="406"/>
      <c r="I74" s="406"/>
    </row>
    <row r="75" spans="2:11">
      <c r="B75" s="408" t="str">
        <f>VLOOKUP("What_if_Cost_Related_Material_flows",Hidden_Translations!$B$11:$K$1184,Hidden_Translations!$C$8,FALSE)</f>
        <v>Cost related to the material flows</v>
      </c>
      <c r="C75" s="408"/>
      <c r="D75" s="408"/>
      <c r="E75" s="408"/>
      <c r="F75" s="408"/>
      <c r="G75" s="408"/>
      <c r="H75" s="408"/>
      <c r="I75" s="408"/>
    </row>
    <row r="76" spans="2:11">
      <c r="I76" s="406"/>
      <c r="J76" s="406"/>
    </row>
    <row r="77" spans="2:11">
      <c r="B77" s="427" t="str">
        <f>VLOOKUP("What_if_No_Measure",Hidden_Translations!$B$11:$K$1184,Hidden_Translations!$C$8,FALSE)</f>
        <v>No measure</v>
      </c>
      <c r="C77" s="428" t="str">
        <f>VLOOKUP("What_if_Fuel1",Hidden_Translations!$B$11:$K$1184,Hidden_Translations!$C$8,FALSE)</f>
        <v>Fuel for transport</v>
      </c>
      <c r="D77" s="409" t="str">
        <f>VLOOKUP("What_if_Water",Hidden_Translations!$B$11:$K$1184,Hidden_Translations!$C$8,FALSE)</f>
        <v>Water</v>
      </c>
      <c r="E77" s="409" t="str">
        <f>VLOOKUP("What_if_Electricity",Hidden_Translations!$B$11:$K$1184,Hidden_Translations!$C$8,FALSE)</f>
        <v>Electricity</v>
      </c>
      <c r="F77" s="428" t="str">
        <f>VLOOKUP("What_if_Fuel2",Hidden_Translations!$B$11:$K$1184,Hidden_Translations!$C$8,FALSE)</f>
        <v>Fuel for refrigeration</v>
      </c>
      <c r="G77" s="409" t="str">
        <f>VLOOKUP("What_if_Other",Hidden_Translations!$B$11:$K$1184,Hidden_Translations!$C$8,FALSE)</f>
        <v>Other energy</v>
      </c>
      <c r="H77" s="409" t="str">
        <f>VLOOKUP("What_if_Refrigerant",Hidden_Translations!$B$11:$K$1184,Hidden_Translations!$C$8,FALSE)</f>
        <v>Refrigerant</v>
      </c>
      <c r="I77" s="406"/>
      <c r="J77" s="406"/>
    </row>
    <row r="78" spans="2:11">
      <c r="B78" s="411" t="str">
        <f>VLOOKUP("What_if_Transport1",Hidden_Translations!$B$11:$K$1184,Hidden_Translations!$C$8,FALSE)</f>
        <v>Transport to Processor</v>
      </c>
      <c r="C78" s="429">
        <f>Hidden_Calculation!N97</f>
        <v>0</v>
      </c>
      <c r="D78" s="429">
        <f>Hidden_Calculation!N98</f>
        <v>0</v>
      </c>
      <c r="E78" s="429">
        <f>Hidden_Calculation!N55+Hidden_Calculation!N48</f>
        <v>0</v>
      </c>
      <c r="F78" s="429">
        <f>SUM(Hidden_Calculation!N58:N62)</f>
        <v>0</v>
      </c>
      <c r="G78" s="411"/>
      <c r="H78" s="429">
        <f>Hidden_Calculation!N101</f>
        <v>0</v>
      </c>
      <c r="I78" s="411" t="str">
        <f>VLOOKUP("Units_Euro",Hidden_Translations!$B$11:$K$1184,Hidden_Translations!$C$8,FALSE)</f>
        <v>[Euro]</v>
      </c>
      <c r="J78" s="406"/>
    </row>
    <row r="79" spans="2:11">
      <c r="B79" s="411" t="str">
        <f>VLOOKUP("What_if_Warehouse",Hidden_Translations!$B$11:$K$1184,Hidden_Translations!$C$8,FALSE)</f>
        <v>Warehouse</v>
      </c>
      <c r="C79" s="411"/>
      <c r="D79" s="429">
        <f>Hidden_Calculation!AB98</f>
        <v>0</v>
      </c>
      <c r="E79" s="429" t="e">
        <f>Hidden_Calculation!AB55+Hidden_Calculation!AB48</f>
        <v>#DIV/0!</v>
      </c>
      <c r="F79" s="429">
        <f>SUM(Hidden_Calculation!AB58:AB62)</f>
        <v>0</v>
      </c>
      <c r="G79" s="429" t="e">
        <f>Hidden_Calculation!AB49 + Hidden_Calculation!AB50</f>
        <v>#DIV/0!</v>
      </c>
      <c r="H79" s="429">
        <f>Hidden_Calculation!AB101</f>
        <v>0</v>
      </c>
      <c r="I79" s="411" t="str">
        <f>I78</f>
        <v>[Euro]</v>
      </c>
      <c r="J79" s="406"/>
    </row>
    <row r="80" spans="2:11">
      <c r="B80" s="411" t="str">
        <f>VLOOKUP("What_if_Transport2",Hidden_Translations!$B$11:$K$1184,Hidden_Translations!$C$8,FALSE)</f>
        <v>Transport 2</v>
      </c>
      <c r="C80" s="429">
        <f>Hidden_Calculation!CO97</f>
        <v>0</v>
      </c>
      <c r="D80" s="429">
        <f>Hidden_Calculation!CO98</f>
        <v>0</v>
      </c>
      <c r="E80" s="429">
        <f>Hidden_Calculation!CO55+Hidden_Calculation!CO48</f>
        <v>0</v>
      </c>
      <c r="F80" s="429">
        <f>SUM(Hidden_Calculation!CO58:CO62)</f>
        <v>0</v>
      </c>
      <c r="G80" s="411"/>
      <c r="H80" s="429">
        <f>Hidden_Calculation!CO101</f>
        <v>0</v>
      </c>
      <c r="I80" s="411" t="str">
        <f t="shared" ref="I80:I83" si="3">I79</f>
        <v>[Euro]</v>
      </c>
      <c r="J80" s="406"/>
    </row>
    <row r="81" spans="2:10">
      <c r="B81" s="411" t="str">
        <f>VLOOKUP("What_if_Storage",Hidden_Translations!$B$11:$K$1184,Hidden_Translations!$C$8,FALSE)</f>
        <v>Storage at distribution center</v>
      </c>
      <c r="C81" s="411"/>
      <c r="D81" s="429">
        <f>Hidden_Calculation!DC98</f>
        <v>0</v>
      </c>
      <c r="E81" s="429">
        <f>Hidden_Calculation!DC55+Hidden_Calculation!DC48</f>
        <v>0</v>
      </c>
      <c r="F81" s="429">
        <f>SUM(Hidden_Calculation!DC58:DC62)</f>
        <v>0</v>
      </c>
      <c r="G81" s="429">
        <f>Hidden_Calculation!DC49 + Hidden_Calculation!DC50</f>
        <v>0</v>
      </c>
      <c r="H81" s="429">
        <f>Hidden_Calculation!DC101</f>
        <v>0</v>
      </c>
      <c r="I81" s="411" t="str">
        <f t="shared" si="3"/>
        <v>[Euro]</v>
      </c>
      <c r="J81" s="406"/>
    </row>
    <row r="82" spans="2:10">
      <c r="B82" s="411" t="str">
        <f>VLOOKUP("What_if_Transport3",Hidden_Translations!$B$11:$K$1184,Hidden_Translations!$C$8,FALSE)</f>
        <v>Transport 3</v>
      </c>
      <c r="C82" s="429">
        <f>Hidden_Calculation!DQ97</f>
        <v>0</v>
      </c>
      <c r="D82" s="429">
        <f>Hidden_Calculation!DQ98</f>
        <v>0</v>
      </c>
      <c r="E82" s="429">
        <f>Hidden_Calculation!DQ55+Hidden_Calculation!DQ48</f>
        <v>0</v>
      </c>
      <c r="F82" s="429">
        <f>SUM(Hidden_Calculation!DQ58:DQ62)</f>
        <v>0</v>
      </c>
      <c r="G82" s="411"/>
      <c r="H82" s="429">
        <f>Hidden_Calculation!DQ101</f>
        <v>0</v>
      </c>
      <c r="I82" s="411" t="str">
        <f t="shared" si="3"/>
        <v>[Euro]</v>
      </c>
      <c r="J82" s="406"/>
    </row>
    <row r="83" spans="2:10">
      <c r="B83" s="411" t="str">
        <f>VLOOKUP("What_if_Retailer",Hidden_Translations!$B$11:$K$1184,Hidden_Translations!$C$8,FALSE)</f>
        <v>Retailer backroom</v>
      </c>
      <c r="C83" s="411"/>
      <c r="D83" s="429">
        <f>Hidden_Calculation!EE98</f>
        <v>0</v>
      </c>
      <c r="E83" s="429">
        <f>Hidden_Calculation!EE55+Hidden_Calculation!EE48</f>
        <v>0</v>
      </c>
      <c r="F83" s="429">
        <f>SUM(Hidden_Calculation!EE58:EE62)</f>
        <v>0</v>
      </c>
      <c r="G83" s="429">
        <f>Hidden_Calculation!EE49 +Hidden_Calculation!EE50</f>
        <v>0</v>
      </c>
      <c r="H83" s="429">
        <f>Hidden_Calculation!EE101</f>
        <v>0</v>
      </c>
      <c r="I83" s="411" t="str">
        <f t="shared" si="3"/>
        <v>[Euro]</v>
      </c>
      <c r="J83" s="406"/>
    </row>
    <row r="84" spans="2:10">
      <c r="I84" s="406"/>
    </row>
    <row r="85" spans="2:10">
      <c r="B85" s="427" t="str">
        <f>VLOOKUP("What_if_Implemented_Measure",Hidden_Translations!$B$11:$K$1184,Hidden_Translations!$C$8,FALSE)</f>
        <v>Implemented measure</v>
      </c>
      <c r="C85" s="428" t="str">
        <f t="shared" ref="C85:H85" si="4">C77</f>
        <v>Fuel for transport</v>
      </c>
      <c r="D85" s="409" t="str">
        <f t="shared" si="4"/>
        <v>Water</v>
      </c>
      <c r="E85" s="409" t="str">
        <f t="shared" si="4"/>
        <v>Electricity</v>
      </c>
      <c r="F85" s="428" t="str">
        <f t="shared" si="4"/>
        <v>Fuel for refrigeration</v>
      </c>
      <c r="G85" s="409" t="str">
        <f t="shared" si="4"/>
        <v>Other energy</v>
      </c>
      <c r="H85" s="409" t="str">
        <f t="shared" si="4"/>
        <v>Refrigerant</v>
      </c>
      <c r="I85" s="406"/>
    </row>
    <row r="86" spans="2:10">
      <c r="B86" s="411" t="str">
        <f>B78</f>
        <v>Transport to Processor</v>
      </c>
      <c r="C86" s="422">
        <f>C78</f>
        <v>0</v>
      </c>
      <c r="D86" s="422">
        <f t="shared" ref="D86:D91" si="5">D78*(1+$F$53)</f>
        <v>0</v>
      </c>
      <c r="E86" s="422">
        <f t="shared" ref="E86:E91" si="6">E78*(1+$F$51)</f>
        <v>0</v>
      </c>
      <c r="F86" s="422">
        <f t="shared" ref="F86:F91" si="7">F78*(1+$F$52)</f>
        <v>0</v>
      </c>
      <c r="G86" s="411"/>
      <c r="H86" s="422">
        <f t="shared" ref="H86:H91" si="8">H78*(1+$F$54)</f>
        <v>0</v>
      </c>
      <c r="I86" s="411" t="str">
        <f>I78</f>
        <v>[Euro]</v>
      </c>
    </row>
    <row r="87" spans="2:10">
      <c r="B87" s="411" t="str">
        <f>B79</f>
        <v>Warehouse</v>
      </c>
      <c r="C87" s="411"/>
      <c r="D87" s="422">
        <f t="shared" si="5"/>
        <v>0</v>
      </c>
      <c r="E87" s="422" t="e">
        <f t="shared" si="6"/>
        <v>#DIV/0!</v>
      </c>
      <c r="F87" s="422">
        <f t="shared" si="7"/>
        <v>0</v>
      </c>
      <c r="G87" s="422" t="e">
        <f>G79*(1+$F$52)</f>
        <v>#DIV/0!</v>
      </c>
      <c r="H87" s="422">
        <f t="shared" si="8"/>
        <v>0</v>
      </c>
      <c r="I87" s="411" t="str">
        <f t="shared" ref="I87:I91" si="9">I79</f>
        <v>[Euro]</v>
      </c>
      <c r="J87" s="430"/>
    </row>
    <row r="88" spans="2:10">
      <c r="B88" s="411" t="str">
        <f>B80</f>
        <v>Transport 2</v>
      </c>
      <c r="C88" s="422">
        <f>C80</f>
        <v>0</v>
      </c>
      <c r="D88" s="422">
        <f t="shared" si="5"/>
        <v>0</v>
      </c>
      <c r="E88" s="422">
        <f t="shared" si="6"/>
        <v>0</v>
      </c>
      <c r="F88" s="422">
        <f t="shared" si="7"/>
        <v>0</v>
      </c>
      <c r="G88" s="411"/>
      <c r="H88" s="422">
        <f t="shared" si="8"/>
        <v>0</v>
      </c>
      <c r="I88" s="411" t="str">
        <f t="shared" si="9"/>
        <v>[Euro]</v>
      </c>
      <c r="J88" s="430"/>
    </row>
    <row r="89" spans="2:10">
      <c r="B89" s="411" t="str">
        <f>B81</f>
        <v>Storage at distribution center</v>
      </c>
      <c r="C89" s="411"/>
      <c r="D89" s="422">
        <f t="shared" si="5"/>
        <v>0</v>
      </c>
      <c r="E89" s="422">
        <f t="shared" si="6"/>
        <v>0</v>
      </c>
      <c r="F89" s="422">
        <f t="shared" si="7"/>
        <v>0</v>
      </c>
      <c r="G89" s="422">
        <f>G81*(1+$F$52)</f>
        <v>0</v>
      </c>
      <c r="H89" s="422">
        <f t="shared" si="8"/>
        <v>0</v>
      </c>
      <c r="I89" s="411" t="str">
        <f t="shared" si="9"/>
        <v>[Euro]</v>
      </c>
      <c r="J89" s="430"/>
    </row>
    <row r="90" spans="2:10">
      <c r="B90" s="411" t="str">
        <f>B82</f>
        <v>Transport 3</v>
      </c>
      <c r="C90" s="422">
        <f>C82</f>
        <v>0</v>
      </c>
      <c r="D90" s="422">
        <f t="shared" si="5"/>
        <v>0</v>
      </c>
      <c r="E90" s="422">
        <f t="shared" si="6"/>
        <v>0</v>
      </c>
      <c r="F90" s="422">
        <f t="shared" si="7"/>
        <v>0</v>
      </c>
      <c r="G90" s="411"/>
      <c r="H90" s="422">
        <f t="shared" si="8"/>
        <v>0</v>
      </c>
      <c r="I90" s="411" t="str">
        <f t="shared" si="9"/>
        <v>[Euro]</v>
      </c>
      <c r="J90" s="430"/>
    </row>
    <row r="91" spans="2:10">
      <c r="B91" s="411" t="str">
        <f>B83</f>
        <v>Retailer backroom</v>
      </c>
      <c r="C91" s="411"/>
      <c r="D91" s="422">
        <f t="shared" si="5"/>
        <v>0</v>
      </c>
      <c r="E91" s="422">
        <f t="shared" si="6"/>
        <v>0</v>
      </c>
      <c r="F91" s="422">
        <f t="shared" si="7"/>
        <v>0</v>
      </c>
      <c r="G91" s="422">
        <f>G83*(1+$F$52)</f>
        <v>0</v>
      </c>
      <c r="H91" s="422">
        <f t="shared" si="8"/>
        <v>0</v>
      </c>
      <c r="I91" s="411" t="str">
        <f t="shared" si="9"/>
        <v>[Euro]</v>
      </c>
      <c r="J91" s="430"/>
    </row>
    <row r="92" spans="2:10">
      <c r="B92" s="406"/>
      <c r="C92" s="406"/>
      <c r="D92" s="406"/>
      <c r="E92" s="406"/>
      <c r="F92" s="406"/>
      <c r="G92" s="406"/>
      <c r="H92" s="406"/>
      <c r="I92" s="406"/>
      <c r="J92" s="406"/>
    </row>
    <row r="93" spans="2:10">
      <c r="B93" s="408" t="str">
        <f>VLOOKUP("What_if_Cost_Related_GWP",Hidden_Translations!$B$11:$K$1184,Hidden_Translations!$C$8,FALSE)</f>
        <v>Cost related to GWP</v>
      </c>
      <c r="C93" s="408"/>
      <c r="D93" s="408"/>
      <c r="E93" s="408"/>
      <c r="F93" s="408"/>
      <c r="G93" s="408"/>
      <c r="H93" s="408"/>
      <c r="I93" s="408"/>
      <c r="J93" s="406"/>
    </row>
    <row r="94" spans="2:10">
      <c r="I94" s="406"/>
      <c r="J94" s="406"/>
    </row>
    <row r="95" spans="2:10">
      <c r="B95" s="427" t="str">
        <f t="shared" ref="B95:H95" si="10">B77</f>
        <v>No measure</v>
      </c>
      <c r="C95" s="428" t="str">
        <f t="shared" si="10"/>
        <v>Fuel for transport</v>
      </c>
      <c r="D95" s="409" t="str">
        <f t="shared" si="10"/>
        <v>Water</v>
      </c>
      <c r="E95" s="409" t="str">
        <f t="shared" si="10"/>
        <v>Electricity</v>
      </c>
      <c r="F95" s="428" t="str">
        <f t="shared" si="10"/>
        <v>Fuel for refrigeration</v>
      </c>
      <c r="G95" s="409" t="str">
        <f t="shared" si="10"/>
        <v>Other energy</v>
      </c>
      <c r="H95" s="409" t="str">
        <f t="shared" si="10"/>
        <v>Refrigerant</v>
      </c>
    </row>
    <row r="96" spans="2:10">
      <c r="B96" s="411" t="str">
        <f t="shared" ref="B96:B101" si="11">B78</f>
        <v>Transport to Processor</v>
      </c>
      <c r="C96" s="429">
        <f>Hidden_Calculation!K34*0.0566</f>
        <v>0</v>
      </c>
      <c r="D96" s="429">
        <f>Hidden_Calculation!K98*0.0566</f>
        <v>0</v>
      </c>
      <c r="E96" s="429">
        <f>(Hidden_Calculation!K55+Hidden_Calculation!K48)*0.0566</f>
        <v>0</v>
      </c>
      <c r="F96" s="429">
        <f>SUM(Hidden_Calculation!K58:K62)*0.0566</f>
        <v>0</v>
      </c>
      <c r="G96" s="411"/>
      <c r="H96" s="429">
        <f>Hidden_Calculation!K101*0.0566</f>
        <v>0</v>
      </c>
      <c r="I96" s="420" t="str">
        <f>VLOOKUP("Units_kg_CO2_eq",Hidden_Translations!$B$11:$K$1184,Hidden_Translations!$C$8,FALSE)</f>
        <v>[kg CO2 eq.]</v>
      </c>
      <c r="J96" s="405"/>
    </row>
    <row r="97" spans="2:9">
      <c r="B97" s="411" t="str">
        <f t="shared" si="11"/>
        <v>Warehouse</v>
      </c>
      <c r="C97" s="411"/>
      <c r="D97" s="429">
        <f>Hidden_Calculation!Y98*0.0566</f>
        <v>0</v>
      </c>
      <c r="E97" s="429" t="e">
        <f>(Hidden_Calculation!Y55+Hidden_Calculation!Y48)*0.0566</f>
        <v>#DIV/0!</v>
      </c>
      <c r="F97" s="429">
        <f>SUM(Hidden_Calculation!Y58:Y62)*0.0566</f>
        <v>0</v>
      </c>
      <c r="G97" s="429" t="e">
        <f>Hidden_Calculation!Y49*0.0566  + Hidden_Calculation!Y50*0.0566</f>
        <v>#DIV/0!</v>
      </c>
      <c r="H97" s="429">
        <f>Hidden_Calculation!Y101*0.0566</f>
        <v>0</v>
      </c>
      <c r="I97" s="411" t="str">
        <f>I96</f>
        <v>[kg CO2 eq.]</v>
      </c>
    </row>
    <row r="98" spans="2:9">
      <c r="B98" s="411" t="str">
        <f t="shared" si="11"/>
        <v>Transport 2</v>
      </c>
      <c r="C98" s="429">
        <f>Hidden_Calculation!CL34*0.0566</f>
        <v>0</v>
      </c>
      <c r="D98" s="429">
        <f>Hidden_Calculation!CL98*0.0566</f>
        <v>0</v>
      </c>
      <c r="E98" s="429">
        <f>(Hidden_Calculation!CL55+Hidden_Calculation!CL48)*0.0566</f>
        <v>0</v>
      </c>
      <c r="F98" s="429">
        <f>SUM(Hidden_Calculation!CL58:CL62)*0.0566</f>
        <v>0</v>
      </c>
      <c r="G98" s="411"/>
      <c r="H98" s="429">
        <f>Hidden_Calculation!CL101*0.0566</f>
        <v>0</v>
      </c>
      <c r="I98" s="411" t="str">
        <f t="shared" ref="I98:I101" si="12">I97</f>
        <v>[kg CO2 eq.]</v>
      </c>
    </row>
    <row r="99" spans="2:9">
      <c r="B99" s="411" t="str">
        <f t="shared" si="11"/>
        <v>Storage at distribution center</v>
      </c>
      <c r="C99" s="411"/>
      <c r="D99" s="429">
        <f>Hidden_Calculation!CZ98*0.0566</f>
        <v>0</v>
      </c>
      <c r="E99" s="429">
        <f>(Hidden_Calculation!CZ55+Hidden_Calculation!CZ48)*0.0566</f>
        <v>0</v>
      </c>
      <c r="F99" s="429">
        <f>SUM(Hidden_Calculation!CZ58:CZ62)*0.0566</f>
        <v>0</v>
      </c>
      <c r="G99" s="429">
        <f>Hidden_Calculation!CZ49*0.0566+Hidden_Calculation!CZ50*0.0566</f>
        <v>0</v>
      </c>
      <c r="H99" s="429">
        <f>Hidden_Calculation!CZ101*0.0566</f>
        <v>0</v>
      </c>
      <c r="I99" s="411" t="str">
        <f t="shared" si="12"/>
        <v>[kg CO2 eq.]</v>
      </c>
    </row>
    <row r="100" spans="2:9">
      <c r="B100" s="411" t="str">
        <f t="shared" si="11"/>
        <v>Transport 3</v>
      </c>
      <c r="C100" s="429">
        <f>Hidden_Calculation!DN34*0.0566</f>
        <v>0</v>
      </c>
      <c r="D100" s="429">
        <f>Hidden_Calculation!DN98*0.0566</f>
        <v>0</v>
      </c>
      <c r="E100" s="429">
        <f>(Hidden_Calculation!DN55+Hidden_Calculation!DN48)*0.0566</f>
        <v>0</v>
      </c>
      <c r="F100" s="429">
        <f>SUM(Hidden_Calculation!DN58:DN62)*0.0566</f>
        <v>0</v>
      </c>
      <c r="G100" s="411"/>
      <c r="H100" s="429">
        <f>Hidden_Calculation!DN101*0.0566</f>
        <v>0</v>
      </c>
      <c r="I100" s="411" t="str">
        <f t="shared" si="12"/>
        <v>[kg CO2 eq.]</v>
      </c>
    </row>
    <row r="101" spans="2:9">
      <c r="B101" s="411" t="str">
        <f t="shared" si="11"/>
        <v>Retailer backroom</v>
      </c>
      <c r="C101" s="411"/>
      <c r="D101" s="429">
        <f>Hidden_Calculation!EB98*0.0566</f>
        <v>0</v>
      </c>
      <c r="E101" s="429">
        <f>(Hidden_Calculation!EB55+Hidden_Calculation!EB48)*0.0566</f>
        <v>0</v>
      </c>
      <c r="F101" s="429">
        <f>SUM(Hidden_Calculation!EB58:EB62)*0.0566</f>
        <v>0</v>
      </c>
      <c r="G101" s="429">
        <f>Hidden_Calculation!EB49*0.0566+Hidden_Calculation!EB50*0.0566</f>
        <v>0</v>
      </c>
      <c r="H101" s="429">
        <f>Hidden_Calculation!EB101*0.0566</f>
        <v>0</v>
      </c>
      <c r="I101" s="411" t="str">
        <f t="shared" si="12"/>
        <v>[kg CO2 eq.]</v>
      </c>
    </row>
    <row r="102" spans="2:9">
      <c r="I102" s="406"/>
    </row>
    <row r="103" spans="2:9">
      <c r="B103" s="427" t="str">
        <f>B85</f>
        <v>Implemented measure</v>
      </c>
      <c r="C103" s="428" t="str">
        <f t="shared" ref="C103:H103" si="13">C95</f>
        <v>Fuel for transport</v>
      </c>
      <c r="D103" s="409" t="str">
        <f t="shared" si="13"/>
        <v>Water</v>
      </c>
      <c r="E103" s="409" t="str">
        <f t="shared" si="13"/>
        <v>Electricity</v>
      </c>
      <c r="F103" s="428" t="str">
        <f t="shared" si="13"/>
        <v>Fuel for refrigeration</v>
      </c>
      <c r="G103" s="409" t="str">
        <f t="shared" si="13"/>
        <v>Other energy</v>
      </c>
      <c r="H103" s="409" t="str">
        <f t="shared" si="13"/>
        <v>Refrigerant</v>
      </c>
      <c r="I103" s="406"/>
    </row>
    <row r="104" spans="2:9">
      <c r="B104" s="411" t="str">
        <f>B96</f>
        <v>Transport to Processor</v>
      </c>
      <c r="C104" s="422">
        <f>C96</f>
        <v>0</v>
      </c>
      <c r="D104" s="422">
        <f t="shared" ref="D104:D109" si="14">D96*(1+$F$53)</f>
        <v>0</v>
      </c>
      <c r="E104" s="422">
        <f t="shared" ref="E104:E109" si="15">E96*(1+$F$51)</f>
        <v>0</v>
      </c>
      <c r="F104" s="422">
        <f t="shared" ref="F104:F109" si="16">F96*(1+$F$52)</f>
        <v>0</v>
      </c>
      <c r="G104" s="411"/>
      <c r="H104" s="422">
        <f t="shared" ref="H104:H109" si="17">H96*(1+$F$54)</f>
        <v>0</v>
      </c>
      <c r="I104" s="411" t="str">
        <f>I96</f>
        <v>[kg CO2 eq.]</v>
      </c>
    </row>
    <row r="105" spans="2:9">
      <c r="B105" s="411" t="str">
        <f>B97</f>
        <v>Warehouse</v>
      </c>
      <c r="C105" s="411"/>
      <c r="D105" s="422">
        <f t="shared" si="14"/>
        <v>0</v>
      </c>
      <c r="E105" s="422" t="e">
        <f t="shared" si="15"/>
        <v>#DIV/0!</v>
      </c>
      <c r="F105" s="422">
        <f t="shared" si="16"/>
        <v>0</v>
      </c>
      <c r="G105" s="422" t="e">
        <f>G97*(1+$F$52)</f>
        <v>#DIV/0!</v>
      </c>
      <c r="H105" s="422">
        <f t="shared" si="17"/>
        <v>0</v>
      </c>
      <c r="I105" s="411" t="str">
        <f t="shared" ref="I105:I109" si="18">I97</f>
        <v>[kg CO2 eq.]</v>
      </c>
    </row>
    <row r="106" spans="2:9">
      <c r="B106" s="411" t="str">
        <f>B98</f>
        <v>Transport 2</v>
      </c>
      <c r="C106" s="422">
        <f>C98</f>
        <v>0</v>
      </c>
      <c r="D106" s="422">
        <f t="shared" si="14"/>
        <v>0</v>
      </c>
      <c r="E106" s="422">
        <f t="shared" si="15"/>
        <v>0</v>
      </c>
      <c r="F106" s="422">
        <f t="shared" si="16"/>
        <v>0</v>
      </c>
      <c r="G106" s="411"/>
      <c r="H106" s="422">
        <f t="shared" si="17"/>
        <v>0</v>
      </c>
      <c r="I106" s="411" t="str">
        <f t="shared" si="18"/>
        <v>[kg CO2 eq.]</v>
      </c>
    </row>
    <row r="107" spans="2:9">
      <c r="B107" s="411" t="str">
        <f>B99</f>
        <v>Storage at distribution center</v>
      </c>
      <c r="C107" s="411"/>
      <c r="D107" s="422">
        <f t="shared" si="14"/>
        <v>0</v>
      </c>
      <c r="E107" s="422">
        <f t="shared" si="15"/>
        <v>0</v>
      </c>
      <c r="F107" s="422">
        <f t="shared" si="16"/>
        <v>0</v>
      </c>
      <c r="G107" s="422">
        <f>G99*(1+$F$52)</f>
        <v>0</v>
      </c>
      <c r="H107" s="422">
        <f t="shared" si="17"/>
        <v>0</v>
      </c>
      <c r="I107" s="411" t="str">
        <f t="shared" si="18"/>
        <v>[kg CO2 eq.]</v>
      </c>
    </row>
    <row r="108" spans="2:9">
      <c r="B108" s="411" t="str">
        <f>B100</f>
        <v>Transport 3</v>
      </c>
      <c r="C108" s="422">
        <f>C100</f>
        <v>0</v>
      </c>
      <c r="D108" s="422">
        <f t="shared" si="14"/>
        <v>0</v>
      </c>
      <c r="E108" s="422">
        <f t="shared" si="15"/>
        <v>0</v>
      </c>
      <c r="F108" s="422">
        <f t="shared" si="16"/>
        <v>0</v>
      </c>
      <c r="G108" s="411"/>
      <c r="H108" s="422">
        <f t="shared" si="17"/>
        <v>0</v>
      </c>
      <c r="I108" s="411" t="str">
        <f t="shared" si="18"/>
        <v>[kg CO2 eq.]</v>
      </c>
    </row>
    <row r="109" spans="2:9">
      <c r="B109" s="411" t="str">
        <f>B101</f>
        <v>Retailer backroom</v>
      </c>
      <c r="C109" s="411"/>
      <c r="D109" s="422">
        <f t="shared" si="14"/>
        <v>0</v>
      </c>
      <c r="E109" s="422">
        <f t="shared" si="15"/>
        <v>0</v>
      </c>
      <c r="F109" s="422">
        <f t="shared" si="16"/>
        <v>0</v>
      </c>
      <c r="G109" s="422">
        <f>G101*(1+$F$52)</f>
        <v>0</v>
      </c>
      <c r="H109" s="422">
        <f t="shared" si="17"/>
        <v>0</v>
      </c>
      <c r="I109" s="411" t="str">
        <f t="shared" si="18"/>
        <v>[kg CO2 eq.]</v>
      </c>
    </row>
    <row r="111" spans="2:9">
      <c r="B111" s="407" t="str">
        <f>VLOOKUP("What_if_Sensitivity",Hidden_Translations!$B$11:$K$1184,Hidden_Translations!$C$8,FALSE)</f>
        <v>Sensitivity: Price settings</v>
      </c>
      <c r="C111" s="407"/>
      <c r="D111" s="407"/>
      <c r="E111" s="407"/>
      <c r="F111" s="407"/>
      <c r="G111" s="407"/>
      <c r="H111" s="407"/>
      <c r="I111" s="407"/>
    </row>
    <row r="112" spans="2:9">
      <c r="C112" s="403"/>
      <c r="D112" s="403"/>
      <c r="E112" s="403"/>
      <c r="F112" s="403"/>
      <c r="G112" s="403"/>
      <c r="H112" s="404"/>
    </row>
    <row r="113" spans="2:9">
      <c r="B113" s="405" t="str">
        <f>VLOOKUP("What_if_Sensitivity_Text",Hidden_Translations!$B$11:$K$1184,Hidden_Translations!$C$8,FALSE)</f>
        <v>In this section, you may modify the price settings for different material flows relevant to the E-LCC calculation.</v>
      </c>
      <c r="C113" s="403"/>
      <c r="D113" s="403"/>
      <c r="E113" s="403"/>
      <c r="F113" s="403"/>
      <c r="G113" s="403"/>
      <c r="H113" s="404"/>
    </row>
    <row r="114" spans="2:9">
      <c r="C114" s="403"/>
      <c r="D114" s="403"/>
      <c r="E114" s="403"/>
      <c r="F114" s="403"/>
      <c r="G114" s="403"/>
      <c r="H114" s="404"/>
    </row>
    <row r="115" spans="2:9">
      <c r="B115" s="431" t="str">
        <f>E77</f>
        <v>Electricity</v>
      </c>
      <c r="C115" s="432"/>
      <c r="D115" s="432"/>
      <c r="E115" s="432"/>
      <c r="F115" s="432"/>
      <c r="G115" s="432"/>
      <c r="H115" s="432"/>
      <c r="I115" s="432"/>
    </row>
    <row r="116" spans="2:9">
      <c r="C116" s="403"/>
      <c r="D116" s="403"/>
      <c r="E116" s="403"/>
      <c r="F116" s="403"/>
      <c r="G116" s="403"/>
      <c r="H116" s="404"/>
    </row>
    <row r="117" spans="2:9">
      <c r="B117" s="433" t="str">
        <f>Hidden_Database!C56</f>
        <v>Electricity mix Europe</v>
      </c>
      <c r="C117" s="433"/>
      <c r="D117" s="433"/>
      <c r="E117" s="433"/>
      <c r="F117" s="283">
        <v>0</v>
      </c>
      <c r="G117" s="434" t="str">
        <f>VLOOKUP("Units_Euro_kWh",Hidden_Translations!$B$11:$K$1184,Hidden_Translations!$C$8,FALSE)</f>
        <v>[Euro/kWh]</v>
      </c>
      <c r="H117" s="433"/>
    </row>
    <row r="118" spans="2:9">
      <c r="B118" s="403"/>
      <c r="C118" s="403"/>
      <c r="D118" s="403"/>
      <c r="E118" s="403"/>
      <c r="F118" s="403"/>
      <c r="H118" s="403"/>
    </row>
    <row r="119" spans="2:9">
      <c r="B119" s="431" t="str">
        <f>VLOOKUP("What_if_Fuels",Hidden_Translations!$B$11:$K$1184,Hidden_Translations!$C$8,FALSE)</f>
        <v>Fuels</v>
      </c>
      <c r="C119" s="432"/>
      <c r="D119" s="432"/>
      <c r="E119" s="432"/>
      <c r="F119" s="432"/>
      <c r="G119" s="432"/>
      <c r="H119" s="432"/>
      <c r="I119" s="432"/>
    </row>
    <row r="120" spans="2:9">
      <c r="B120" s="403"/>
      <c r="C120" s="403"/>
      <c r="D120" s="403"/>
      <c r="E120" s="403"/>
      <c r="F120" s="403"/>
      <c r="H120" s="403"/>
      <c r="I120" s="403"/>
    </row>
    <row r="121" spans="2:9">
      <c r="B121" s="403"/>
      <c r="C121" s="403"/>
      <c r="D121" s="403"/>
      <c r="E121" s="403"/>
      <c r="F121" s="403"/>
      <c r="G121" s="403"/>
      <c r="H121" s="403"/>
      <c r="I121" s="403"/>
    </row>
    <row r="122" spans="2:9">
      <c r="B122" s="433" t="str">
        <f>Hidden_Database!C58</f>
        <v>Natural gas</v>
      </c>
      <c r="C122" s="433"/>
      <c r="D122" s="433"/>
      <c r="E122" s="433"/>
      <c r="F122" s="283">
        <v>0</v>
      </c>
      <c r="G122" s="434" t="str">
        <f>G117</f>
        <v>[Euro/kWh]</v>
      </c>
      <c r="H122" s="433"/>
      <c r="I122" s="433"/>
    </row>
    <row r="123" spans="2:9">
      <c r="B123" s="433" t="str">
        <f>Hidden_Database!C66</f>
        <v>Diesel</v>
      </c>
      <c r="C123" s="433"/>
      <c r="D123" s="433"/>
      <c r="E123" s="433"/>
      <c r="F123" s="283">
        <v>0</v>
      </c>
      <c r="G123" s="434" t="str">
        <f>G117</f>
        <v>[Euro/kWh]</v>
      </c>
      <c r="H123" s="433"/>
      <c r="I123" s="433"/>
    </row>
    <row r="124" spans="2:9">
      <c r="B124" s="433" t="str">
        <f>Hidden_Database!C59</f>
        <v>Diesel</v>
      </c>
      <c r="C124" s="433"/>
      <c r="D124" s="433"/>
      <c r="E124" s="433"/>
      <c r="F124" s="283">
        <v>0</v>
      </c>
      <c r="G124" s="434" t="str">
        <f>VLOOKUP("Units_Euro_l",Hidden_Translations!$B$11:$K$1184,Hidden_Translations!$C$8,FALSE)</f>
        <v>[Euro/l]</v>
      </c>
      <c r="H124" s="433"/>
      <c r="I124" s="433"/>
    </row>
    <row r="125" spans="2:9">
      <c r="B125" s="433" t="str">
        <f>Hidden_Database!C60</f>
        <v>Bio ethanol from fermentation</v>
      </c>
      <c r="C125" s="433"/>
      <c r="D125" s="433"/>
      <c r="E125" s="433"/>
      <c r="F125" s="283">
        <v>0</v>
      </c>
      <c r="G125" s="434" t="str">
        <f>G124</f>
        <v>[Euro/l]</v>
      </c>
      <c r="H125" s="433"/>
      <c r="I125" s="433"/>
    </row>
    <row r="126" spans="2:9">
      <c r="B126" s="433" t="str">
        <f>Hidden_Database!C61</f>
        <v>Bio methane 96%</v>
      </c>
      <c r="C126" s="433"/>
      <c r="D126" s="433"/>
      <c r="E126" s="433"/>
      <c r="F126" s="283">
        <v>0</v>
      </c>
      <c r="G126" s="434" t="str">
        <f>VLOOKUP("Units_Euro_kg",Hidden_Translations!$B$11:$K$1184,Hidden_Translations!$C$8,FALSE)</f>
        <v>[Euro/kg]</v>
      </c>
      <c r="H126" s="433"/>
      <c r="I126" s="433"/>
    </row>
    <row r="127" spans="2:9">
      <c r="B127" s="433" t="str">
        <f>Hidden_Database!C62</f>
        <v>Bio diesel</v>
      </c>
      <c r="C127" s="433"/>
      <c r="D127" s="433"/>
      <c r="E127" s="433"/>
      <c r="F127" s="283">
        <v>0</v>
      </c>
      <c r="G127" s="434" t="str">
        <f>VLOOKUP("Units_Euro_m3",Hidden_Translations!$B$11:$K$1184,Hidden_Translations!$C$8,FALSE)</f>
        <v>[Euro/m³]</v>
      </c>
      <c r="H127" s="433"/>
      <c r="I127" s="433"/>
    </row>
    <row r="128" spans="2:9">
      <c r="B128" s="433" t="str">
        <f>Hidden_Database!C63</f>
        <v>Heat from small scale plant</v>
      </c>
      <c r="C128" s="433"/>
      <c r="D128" s="433"/>
      <c r="E128" s="433"/>
      <c r="F128" s="283">
        <v>0</v>
      </c>
      <c r="G128" s="434" t="str">
        <f>G126</f>
        <v>[Euro/kg]</v>
      </c>
      <c r="H128" s="433"/>
      <c r="I128" s="433"/>
    </row>
    <row r="129" spans="2:9">
      <c r="B129" s="433" t="str">
        <f>VLOOKUP("What_if_District",Hidden_Translations!$B$11:$K$1184,Hidden_Translations!$C$8,FALSE)</f>
        <v>District or industrial heating</v>
      </c>
      <c r="C129" s="433"/>
      <c r="D129" s="433"/>
      <c r="E129" s="433"/>
      <c r="F129" s="283">
        <v>0</v>
      </c>
      <c r="G129" s="434" t="str">
        <f>G117</f>
        <v>[Euro/kWh]</v>
      </c>
      <c r="H129" s="433"/>
      <c r="I129" s="433"/>
    </row>
    <row r="130" spans="2:9">
      <c r="B130" s="399"/>
      <c r="C130" s="399"/>
      <c r="D130" s="399"/>
      <c r="E130" s="399"/>
      <c r="F130" s="400"/>
      <c r="G130" s="401"/>
    </row>
    <row r="131" spans="2:9">
      <c r="B131" s="431" t="str">
        <f>D77</f>
        <v>Water</v>
      </c>
      <c r="C131" s="432"/>
      <c r="D131" s="432"/>
      <c r="E131" s="432"/>
      <c r="F131" s="432"/>
      <c r="G131" s="432"/>
      <c r="H131" s="432"/>
      <c r="I131" s="432"/>
    </row>
    <row r="132" spans="2:9">
      <c r="B132" s="399"/>
      <c r="C132" s="399"/>
      <c r="D132" s="399"/>
      <c r="E132" s="399"/>
      <c r="F132" s="400"/>
      <c r="G132" s="401"/>
    </row>
    <row r="133" spans="2:9">
      <c r="B133" s="434" t="str">
        <f>Hidden_Database!C55</f>
        <v>Tap water</v>
      </c>
      <c r="C133" s="433"/>
      <c r="D133" s="433"/>
      <c r="E133" s="433"/>
      <c r="F133" s="283">
        <v>0</v>
      </c>
      <c r="G133" s="434" t="str">
        <f>G127</f>
        <v>[Euro/m³]</v>
      </c>
      <c r="H133" s="433"/>
      <c r="I133" s="433"/>
    </row>
    <row r="134" spans="2:9">
      <c r="B134" s="399"/>
      <c r="C134" s="399"/>
      <c r="D134" s="399"/>
      <c r="E134" s="399"/>
      <c r="F134" s="400"/>
      <c r="G134" s="401"/>
    </row>
    <row r="135" spans="2:9">
      <c r="B135" s="431" t="str">
        <f>VLOOKUP("What_if_Refrigerants",Hidden_Translations!$B$11:$K$1184,Hidden_Translations!$C$8,FALSE)</f>
        <v>Refrigerants</v>
      </c>
      <c r="C135" s="432"/>
      <c r="D135" s="432"/>
      <c r="E135" s="432"/>
      <c r="F135" s="432"/>
      <c r="G135" s="432"/>
      <c r="H135" s="432"/>
      <c r="I135" s="432"/>
    </row>
    <row r="136" spans="2:9">
      <c r="B136" s="405"/>
    </row>
    <row r="137" spans="2:9">
      <c r="B137" s="433" t="str">
        <f>Hidden_Database!C72</f>
        <v>R22</v>
      </c>
      <c r="C137" s="433"/>
      <c r="D137" s="433"/>
      <c r="E137" s="433"/>
      <c r="F137" s="283">
        <v>0</v>
      </c>
      <c r="G137" s="434" t="str">
        <f>G127</f>
        <v>[Euro/m³]</v>
      </c>
      <c r="H137" s="433"/>
      <c r="I137" s="433"/>
    </row>
    <row r="138" spans="2:9">
      <c r="B138" s="433" t="str">
        <f>Hidden_Database!C73</f>
        <v>R134a</v>
      </c>
      <c r="C138" s="433"/>
      <c r="D138" s="433"/>
      <c r="E138" s="433"/>
      <c r="F138" s="283">
        <v>0</v>
      </c>
      <c r="G138" s="434" t="str">
        <f>G127</f>
        <v>[Euro/m³]</v>
      </c>
      <c r="H138" s="433"/>
      <c r="I138" s="433"/>
    </row>
    <row r="139" spans="2:9">
      <c r="B139" s="433" t="str">
        <f>Hidden_Database!C74</f>
        <v>R404a</v>
      </c>
      <c r="C139" s="433"/>
      <c r="D139" s="433"/>
      <c r="E139" s="433"/>
      <c r="F139" s="283">
        <v>0</v>
      </c>
      <c r="G139" s="434" t="str">
        <f>G127</f>
        <v>[Euro/m³]</v>
      </c>
      <c r="H139" s="433"/>
      <c r="I139" s="433"/>
    </row>
    <row r="140" spans="2:9">
      <c r="B140" s="433" t="str">
        <f>Hidden_Database!C75</f>
        <v>R410a</v>
      </c>
      <c r="C140" s="433"/>
      <c r="D140" s="433"/>
      <c r="E140" s="433"/>
      <c r="F140" s="283">
        <v>0</v>
      </c>
      <c r="G140" s="434" t="str">
        <f>G127</f>
        <v>[Euro/m³]</v>
      </c>
      <c r="H140" s="433"/>
      <c r="I140" s="433"/>
    </row>
    <row r="141" spans="2:9">
      <c r="B141" s="399"/>
      <c r="C141" s="399"/>
      <c r="F141" s="400"/>
      <c r="G141" s="401"/>
    </row>
    <row r="142" spans="2:9">
      <c r="C142" s="399"/>
      <c r="D142" s="399"/>
      <c r="E142" s="399"/>
      <c r="F142" s="399"/>
      <c r="G142" s="403"/>
      <c r="H142" s="403"/>
    </row>
  </sheetData>
  <sheetProtection sheet="1" objects="1" scenarios="1" selectLockedCells="1"/>
  <mergeCells count="4">
    <mergeCell ref="B10:H10"/>
    <mergeCell ref="B48:I48"/>
    <mergeCell ref="B6:I6"/>
    <mergeCell ref="D56:F56"/>
  </mergeCells>
  <conditionalFormatting sqref="G51:G55">
    <cfRule type="expression" dxfId="454" priority="79">
      <formula>MOD(ROW(),2)=0</formula>
    </cfRule>
  </conditionalFormatting>
  <conditionalFormatting sqref="B51">
    <cfRule type="expression" dxfId="453" priority="83">
      <formula>MOD(ROW(),2)=0</formula>
    </cfRule>
  </conditionalFormatting>
  <conditionalFormatting sqref="H51:H55">
    <cfRule type="expression" dxfId="452" priority="78">
      <formula>MOD(ROW(),2)=0</formula>
    </cfRule>
  </conditionalFormatting>
  <conditionalFormatting sqref="B52:B55">
    <cfRule type="expression" dxfId="451" priority="77">
      <formula>MOD(ROW(),2)=0</formula>
    </cfRule>
  </conditionalFormatting>
  <conditionalFormatting sqref="C51:E51">
    <cfRule type="expression" dxfId="450" priority="76">
      <formula>MOD(ROW(),2)=0</formula>
    </cfRule>
  </conditionalFormatting>
  <conditionalFormatting sqref="C52:E55">
    <cfRule type="expression" dxfId="449" priority="75">
      <formula>MOD(ROW(),2)=0</formula>
    </cfRule>
  </conditionalFormatting>
  <conditionalFormatting sqref="B78:B83">
    <cfRule type="expression" dxfId="448" priority="74">
      <formula>MOD(ROW(),2)=0</formula>
    </cfRule>
  </conditionalFormatting>
  <conditionalFormatting sqref="C79">
    <cfRule type="expression" dxfId="447" priority="73">
      <formula>MOD(ROW(),2)=0</formula>
    </cfRule>
  </conditionalFormatting>
  <conditionalFormatting sqref="G80">
    <cfRule type="expression" dxfId="446" priority="72">
      <formula>MOD(ROW(),2)=0</formula>
    </cfRule>
  </conditionalFormatting>
  <conditionalFormatting sqref="C107 C109">
    <cfRule type="expression" dxfId="445" priority="49">
      <formula>MOD(ROW(),2)=0</formula>
    </cfRule>
  </conditionalFormatting>
  <conditionalFormatting sqref="B13:B18">
    <cfRule type="expression" dxfId="444" priority="48">
      <formula>MOD(ROW(),2)=0</formula>
    </cfRule>
  </conditionalFormatting>
  <conditionalFormatting sqref="G78">
    <cfRule type="expression" dxfId="443" priority="71">
      <formula>MOD(ROW(),2)=0</formula>
    </cfRule>
  </conditionalFormatting>
  <conditionalFormatting sqref="G104">
    <cfRule type="expression" dxfId="442" priority="51">
      <formula>MOD(ROW(),2)=0</formula>
    </cfRule>
  </conditionalFormatting>
  <conditionalFormatting sqref="G82">
    <cfRule type="expression" dxfId="441" priority="69">
      <formula>MOD(ROW(),2)=0</formula>
    </cfRule>
  </conditionalFormatting>
  <conditionalFormatting sqref="G13:H18">
    <cfRule type="expression" dxfId="440" priority="47">
      <formula>MOD(ROW(),2)=0</formula>
    </cfRule>
  </conditionalFormatting>
  <conditionalFormatting sqref="C81 C83">
    <cfRule type="expression" dxfId="439" priority="67">
      <formula>MOD(ROW(),2)=0</formula>
    </cfRule>
  </conditionalFormatting>
  <conditionalFormatting sqref="B86:B91">
    <cfRule type="expression" dxfId="438" priority="66">
      <formula>MOD(ROW(),2)=0</formula>
    </cfRule>
  </conditionalFormatting>
  <conditionalFormatting sqref="C87">
    <cfRule type="expression" dxfId="437" priority="65">
      <formula>MOD(ROW(),2)=0</formula>
    </cfRule>
  </conditionalFormatting>
  <conditionalFormatting sqref="G88">
    <cfRule type="expression" dxfId="436" priority="64">
      <formula>MOD(ROW(),2)=0</formula>
    </cfRule>
  </conditionalFormatting>
  <conditionalFormatting sqref="G86">
    <cfRule type="expression" dxfId="435" priority="63">
      <formula>MOD(ROW(),2)=0</formula>
    </cfRule>
  </conditionalFormatting>
  <conditionalFormatting sqref="G90">
    <cfRule type="expression" dxfId="434" priority="62">
      <formula>MOD(ROW(),2)=0</formula>
    </cfRule>
  </conditionalFormatting>
  <conditionalFormatting sqref="C89 C91">
    <cfRule type="expression" dxfId="433" priority="61">
      <formula>MOD(ROW(),2)=0</formula>
    </cfRule>
  </conditionalFormatting>
  <conditionalFormatting sqref="B96:B101">
    <cfRule type="expression" dxfId="432" priority="60">
      <formula>MOD(ROW(),2)=0</formula>
    </cfRule>
  </conditionalFormatting>
  <conditionalFormatting sqref="C97">
    <cfRule type="expression" dxfId="431" priority="59">
      <formula>MOD(ROW(),2)=0</formula>
    </cfRule>
  </conditionalFormatting>
  <conditionalFormatting sqref="G98">
    <cfRule type="expression" dxfId="430" priority="58">
      <formula>MOD(ROW(),2)=0</formula>
    </cfRule>
  </conditionalFormatting>
  <conditionalFormatting sqref="G96">
    <cfRule type="expression" dxfId="429" priority="57">
      <formula>MOD(ROW(),2)=0</formula>
    </cfRule>
  </conditionalFormatting>
  <conditionalFormatting sqref="G100">
    <cfRule type="expression" dxfId="428" priority="56">
      <formula>MOD(ROW(),2)=0</formula>
    </cfRule>
  </conditionalFormatting>
  <conditionalFormatting sqref="C99 C101">
    <cfRule type="expression" dxfId="427" priority="55">
      <formula>MOD(ROW(),2)=0</formula>
    </cfRule>
  </conditionalFormatting>
  <conditionalFormatting sqref="B104:B109">
    <cfRule type="expression" dxfId="426" priority="54">
      <formula>MOD(ROW(),2)=0</formula>
    </cfRule>
  </conditionalFormatting>
  <conditionalFormatting sqref="C105">
    <cfRule type="expression" dxfId="425" priority="53">
      <formula>MOD(ROW(),2)=0</formula>
    </cfRule>
  </conditionalFormatting>
  <conditionalFormatting sqref="G106">
    <cfRule type="expression" dxfId="424" priority="52">
      <formula>MOD(ROW(),2)=0</formula>
    </cfRule>
  </conditionalFormatting>
  <conditionalFormatting sqref="G108">
    <cfRule type="expression" dxfId="423" priority="50">
      <formula>MOD(ROW(),2)=0</formula>
    </cfRule>
  </conditionalFormatting>
  <conditionalFormatting sqref="C13:C18">
    <cfRule type="expression" dxfId="422" priority="46">
      <formula>MOD(ROW(),2)=0</formula>
    </cfRule>
  </conditionalFormatting>
  <conditionalFormatting sqref="G56">
    <cfRule type="expression" dxfId="421" priority="44">
      <formula>MOD(ROW(),2)=0</formula>
    </cfRule>
  </conditionalFormatting>
  <conditionalFormatting sqref="F55">
    <cfRule type="expression" dxfId="420" priority="43">
      <formula>MOD(ROW(),2)=0</formula>
    </cfRule>
  </conditionalFormatting>
  <conditionalFormatting sqref="B56">
    <cfRule type="expression" dxfId="419" priority="42">
      <formula>MOD(ROW(),2)=0</formula>
    </cfRule>
  </conditionalFormatting>
  <conditionalFormatting sqref="H56">
    <cfRule type="expression" dxfId="418" priority="41">
      <formula>MOD(ROW(),2)=0</formula>
    </cfRule>
  </conditionalFormatting>
  <conditionalFormatting sqref="I51:I55">
    <cfRule type="expression" dxfId="417" priority="40">
      <formula>MOD(ROW(),2)=0</formula>
    </cfRule>
  </conditionalFormatting>
  <conditionalFormatting sqref="I56">
    <cfRule type="expression" dxfId="416" priority="39">
      <formula>MOD(ROW(),2)=0</formula>
    </cfRule>
  </conditionalFormatting>
  <conditionalFormatting sqref="I13:I18">
    <cfRule type="expression" dxfId="415" priority="38">
      <formula>MOD(ROW(),2)=0</formula>
    </cfRule>
  </conditionalFormatting>
  <conditionalFormatting sqref="B62:B66">
    <cfRule type="expression" dxfId="414" priority="37">
      <formula>MOD(ROW(),2)=0</formula>
    </cfRule>
  </conditionalFormatting>
  <conditionalFormatting sqref="G61:H66">
    <cfRule type="expression" dxfId="413" priority="36">
      <formula>MOD(ROW(),2)=0</formula>
    </cfRule>
  </conditionalFormatting>
  <conditionalFormatting sqref="C62:C66">
    <cfRule type="expression" dxfId="412" priority="34">
      <formula>MOD(ROW(),2)=0</formula>
    </cfRule>
  </conditionalFormatting>
  <conditionalFormatting sqref="I69">
    <cfRule type="expression" dxfId="411" priority="29">
      <formula>MOD(ROW(),2)=0</formula>
    </cfRule>
  </conditionalFormatting>
  <conditionalFormatting sqref="B69">
    <cfRule type="expression" dxfId="410" priority="32">
      <formula>MOD(ROW(),2)=0</formula>
    </cfRule>
  </conditionalFormatting>
  <conditionalFormatting sqref="G69:H69">
    <cfRule type="expression" dxfId="409" priority="31">
      <formula>MOD(ROW(),2)=0</formula>
    </cfRule>
  </conditionalFormatting>
  <conditionalFormatting sqref="C69">
    <cfRule type="expression" dxfId="408" priority="30">
      <formula>MOD(ROW(),2)=0</formula>
    </cfRule>
  </conditionalFormatting>
  <conditionalFormatting sqref="I61:I66">
    <cfRule type="expression" dxfId="407" priority="25">
      <formula>MOD(ROW(),2)=0</formula>
    </cfRule>
  </conditionalFormatting>
  <conditionalFormatting sqref="B117:C117 G117:H117">
    <cfRule type="expression" dxfId="406" priority="23">
      <formula>MOD(ROW(),2)=0</formula>
    </cfRule>
  </conditionalFormatting>
  <conditionalFormatting sqref="B122:C129 G122:H129">
    <cfRule type="expression" dxfId="405" priority="21">
      <formula>MOD(ROW(),2)=0</formula>
    </cfRule>
  </conditionalFormatting>
  <conditionalFormatting sqref="B133:C133 G133:H133">
    <cfRule type="expression" dxfId="404" priority="19">
      <formula>MOD(ROW(),2)=0</formula>
    </cfRule>
  </conditionalFormatting>
  <conditionalFormatting sqref="B137:C140 G137:H140">
    <cfRule type="expression" dxfId="403" priority="17">
      <formula>MOD(ROW(),2)=0</formula>
    </cfRule>
  </conditionalFormatting>
  <conditionalFormatting sqref="I78:I83">
    <cfRule type="expression" dxfId="402" priority="13">
      <formula>MOD(ROW(),2)=0</formula>
    </cfRule>
  </conditionalFormatting>
  <conditionalFormatting sqref="I86:I91">
    <cfRule type="expression" dxfId="401" priority="12">
      <formula>MOD(ROW(),2)=0</formula>
    </cfRule>
  </conditionalFormatting>
  <conditionalFormatting sqref="I96:I101">
    <cfRule type="expression" dxfId="400" priority="11">
      <formula>MOD(ROW(),2)=0</formula>
    </cfRule>
  </conditionalFormatting>
  <conditionalFormatting sqref="I104:I109">
    <cfRule type="expression" dxfId="399" priority="10">
      <formula>MOD(ROW(),2)=0</formula>
    </cfRule>
  </conditionalFormatting>
  <conditionalFormatting sqref="I122:I129">
    <cfRule type="expression" dxfId="398" priority="9">
      <formula>MOD(ROW(),2)=0</formula>
    </cfRule>
  </conditionalFormatting>
  <conditionalFormatting sqref="I133">
    <cfRule type="expression" dxfId="397" priority="8">
      <formula>MOD(ROW(),2)=0</formula>
    </cfRule>
  </conditionalFormatting>
  <conditionalFormatting sqref="I137:I140">
    <cfRule type="expression" dxfId="396" priority="7">
      <formula>MOD(ROW(),2)=0</formula>
    </cfRule>
  </conditionalFormatting>
  <conditionalFormatting sqref="D117:E117">
    <cfRule type="expression" dxfId="395" priority="5">
      <formula>MOD(ROW(),2)=0</formula>
    </cfRule>
  </conditionalFormatting>
  <conditionalFormatting sqref="D122:E129">
    <cfRule type="expression" dxfId="394" priority="4">
      <formula>MOD(ROW(),2)=0</formula>
    </cfRule>
  </conditionalFormatting>
  <conditionalFormatting sqref="D133:E133">
    <cfRule type="expression" dxfId="393" priority="3">
      <formula>MOD(ROW(),2)=0</formula>
    </cfRule>
  </conditionalFormatting>
  <conditionalFormatting sqref="D137:E140">
    <cfRule type="expression" dxfId="392" priority="2">
      <formula>MOD(ROW(),2)=0</formula>
    </cfRule>
  </conditionalFormatting>
  <conditionalFormatting sqref="D61:G61">
    <cfRule type="expression" dxfId="391" priority="947">
      <formula>D61=$D$56</formula>
    </cfRule>
  </conditionalFormatting>
  <conditionalFormatting sqref="C56">
    <cfRule type="expression" dxfId="390" priority="1">
      <formula>MOD(ROW(),2)=0</formula>
    </cfRule>
  </conditionalFormatting>
  <dataValidations count="1">
    <dataValidation type="list" allowBlank="1" showInputMessage="1" showErrorMessage="1" sqref="D56:F56">
      <formula1>$B$12:$B$18</formula1>
    </dataValidation>
  </dataValidations>
  <pageMargins left="0.7" right="0.7" top="0.78740157499999996" bottom="0.78740157499999996" header="0.3" footer="0.3"/>
  <pageSetup paperSize="9" scale="37" orientation="landscape" r:id="rId1"/>
  <rowBreaks count="1" manualBreakCount="1">
    <brk id="57" min="1" max="8" man="1"/>
  </rowBreaks>
  <drawing r:id="rId2"/>
  <extLst>
    <ext xmlns:x14="http://schemas.microsoft.com/office/spreadsheetml/2009/9/main" uri="{78C0D931-6437-407d-A8EE-F0AAD7539E65}">
      <x14:conditionalFormattings>
        <x14:conditionalFormatting xmlns:xm="http://schemas.microsoft.com/office/excel/2006/main">
          <x14:cfRule type="expression" priority="85" id="{5D4588A0-C797-4828-A0DD-98AECB8CDE88}">
            <xm:f>Hidden_Calculation!$R$25="YES"</xm:f>
            <x14:dxf>
              <font>
                <color theme="0"/>
              </font>
              <fill>
                <patternFill>
                  <bgColor theme="0"/>
                </patternFill>
              </fill>
              <border>
                <left/>
                <right/>
                <top/>
                <bottom/>
                <vertical/>
                <horizontal/>
              </border>
            </x14:dxf>
          </x14:cfRule>
          <xm:sqref>F51</xm:sqref>
        </x14:conditionalFormatting>
        <x14:conditionalFormatting xmlns:xm="http://schemas.microsoft.com/office/excel/2006/main">
          <x14:cfRule type="expression" priority="45" id="{68D78E3E-291D-417D-A54E-155CE9D359BC}">
            <xm:f>Hidden_Calculation!$R$25="YES"</xm:f>
            <x14:dxf>
              <font>
                <color theme="0"/>
              </font>
              <fill>
                <patternFill>
                  <bgColor theme="0"/>
                </patternFill>
              </fill>
              <border>
                <left/>
                <right/>
                <top/>
                <bottom/>
                <vertical/>
                <horizontal/>
              </border>
            </x14:dxf>
          </x14:cfRule>
          <xm:sqref>D56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B2:N247"/>
  <sheetViews>
    <sheetView zoomScaleNormal="100" workbookViewId="0">
      <selection activeCell="B6" sqref="B6:H6"/>
    </sheetView>
  </sheetViews>
  <sheetFormatPr baseColWidth="10" defaultColWidth="12.5703125" defaultRowHeight="15"/>
  <cols>
    <col min="1" max="1" width="4.140625" style="18" customWidth="1"/>
    <col min="2" max="2" width="23" style="18" customWidth="1"/>
    <col min="3" max="5" width="12.140625" style="18" customWidth="1"/>
    <col min="6" max="6" width="18.42578125" style="18" customWidth="1"/>
    <col min="7" max="8" width="15.7109375" style="18" customWidth="1"/>
    <col min="9" max="9" width="12.5703125" style="296"/>
    <col min="10" max="10" width="12.5703125" style="19"/>
    <col min="11" max="16384" width="12.5703125" style="18"/>
  </cols>
  <sheetData>
    <row r="2" spans="2:14" ht="18.75">
      <c r="B2" s="6" t="str">
        <f>VLOOKUP("General_Header",Hidden_Translations!$B$11:$K$1173,Hidden_Translations!$C$8,FALSE)</f>
        <v>Improving Cold Chain Energy Efficiency (ICCEE project)</v>
      </c>
      <c r="C2" s="22"/>
      <c r="D2" s="22"/>
      <c r="E2" s="22"/>
      <c r="F2" s="22"/>
      <c r="G2" s="22"/>
      <c r="H2" s="22"/>
    </row>
    <row r="4" spans="2:14" ht="18.75">
      <c r="B4" s="21" t="str">
        <f>VLOOKUP("Results_Header",Hidden_Translations!$B$11:$K$1173,Hidden_Translations!$C$8,FALSE)</f>
        <v>#2: Life Cycle Assessment: Results</v>
      </c>
      <c r="C4" s="20"/>
      <c r="D4" s="20"/>
      <c r="E4" s="20"/>
      <c r="F4" s="20"/>
      <c r="G4" s="20"/>
      <c r="H4" s="20"/>
    </row>
    <row r="6" spans="2:14" ht="45" customHeight="1">
      <c r="B6" s="501" t="str">
        <f>VLOOKUP("Results_Header_Text",Hidden_Translations!$B$11:$K$1173,Hidden_Translations!$C$8,FALSE)</f>
        <v>In this analysis, the environmental impacts are presented along three of the most common impact categories nowadays under consideration. These results are potential impacts caused by the modeled activities per functional unit</v>
      </c>
      <c r="C6" s="501"/>
      <c r="D6" s="501"/>
      <c r="E6" s="501"/>
      <c r="F6" s="501"/>
      <c r="G6" s="501"/>
      <c r="H6" s="501"/>
    </row>
    <row r="7" spans="2:14">
      <c r="B7" s="24"/>
    </row>
    <row r="8" spans="2:14">
      <c r="B8" s="502" t="str">
        <f>VLOOKUP("Results_Global_Warming",Hidden_Translations!$B$11:$K$1173,Hidden_Translations!$C$8,FALSE)</f>
        <v>Global warming potentials (GWP)</v>
      </c>
      <c r="C8" s="502"/>
      <c r="D8" s="502"/>
      <c r="E8" s="502"/>
      <c r="F8" s="502"/>
      <c r="G8" s="502"/>
      <c r="H8" s="502"/>
    </row>
    <row r="9" spans="2:14">
      <c r="B9" s="23"/>
      <c r="F9" s="499"/>
      <c r="G9" s="499"/>
      <c r="H9" s="499"/>
    </row>
    <row r="10" spans="2:14" ht="45" customHeight="1">
      <c r="B10" s="501" t="str">
        <f>VLOOKUP("Results_Global_Warming_Text",Hidden_Translations!$B$11:$K$1173,Hidden_Translations!$C$8,FALSE)</f>
        <v>The determination of the Global Warming Potential (GWP) is based on the "2013 method" developed by the Intergovernmental Panel on Climate Change (IPCC). It delivers results for a timeframe of 100 years and expresses the impact in terms of kg of carbon dioxide equivalents.</v>
      </c>
      <c r="C10" s="501"/>
      <c r="D10" s="501"/>
      <c r="E10" s="501"/>
      <c r="F10" s="501"/>
      <c r="G10" s="501"/>
      <c r="H10" s="501"/>
      <c r="J10" s="18"/>
    </row>
    <row r="11" spans="2:14" ht="15" customHeight="1">
      <c r="J11" s="18"/>
    </row>
    <row r="12" spans="2:14">
      <c r="B12" s="300" t="str">
        <f>VLOOKUP("Results_Global_Warming_Stage",Hidden_Translations!$B$11:$K$1173,Hidden_Translations!$C$8,FALSE)</f>
        <v>GWP by stage: Value per functional unit</v>
      </c>
      <c r="C12" s="300"/>
      <c r="D12" s="300"/>
      <c r="E12" s="300"/>
      <c r="F12" s="300"/>
      <c r="G12" s="300"/>
      <c r="H12" s="300"/>
      <c r="K12" s="26"/>
      <c r="L12" s="26"/>
      <c r="M12" s="26"/>
      <c r="N12" s="26"/>
    </row>
    <row r="13" spans="2:14">
      <c r="K13" s="26"/>
      <c r="L13" s="26"/>
      <c r="M13" s="26"/>
      <c r="N13" s="26"/>
    </row>
    <row r="14" spans="2:14">
      <c r="B14" s="299" t="str">
        <f>VLOOKUP("Results_Note",Hidden_Translations!$B$11:$K$1173,Hidden_Translations!$C$8,FALSE)</f>
        <v>Please note that the impact from the raw materials is attributed to the producer.</v>
      </c>
      <c r="K14" s="26"/>
      <c r="L14" s="26"/>
      <c r="M14" s="26"/>
      <c r="N14" s="26"/>
    </row>
    <row r="15" spans="2:14">
      <c r="B15" s="26"/>
      <c r="C15" s="26"/>
      <c r="D15" s="26"/>
      <c r="E15" s="26"/>
      <c r="F15" s="289"/>
      <c r="K15" s="26"/>
      <c r="L15" s="26"/>
      <c r="M15" s="26"/>
      <c r="N15" s="26"/>
    </row>
    <row r="16" spans="2:14">
      <c r="B16" s="26"/>
      <c r="C16" s="26"/>
      <c r="D16" s="26"/>
      <c r="E16" s="26"/>
      <c r="F16" s="113" t="str">
        <f>VLOOKUP("Results_GWP",Hidden_Translations!$B$11:$K$1173,Hidden_Translations!$C$8,FALSE)</f>
        <v>GWP</v>
      </c>
      <c r="G16" s="293" t="str">
        <f>F16</f>
        <v>GWP</v>
      </c>
      <c r="H16" s="376" t="str">
        <f>VLOOKUP("Results_GWP_Cumulated",Hidden_Translations!$B$11:$K$1173,Hidden_Translations!$C$8,FALSE)</f>
        <v>GWP cumulated</v>
      </c>
      <c r="K16" s="26"/>
      <c r="L16" s="26"/>
      <c r="M16" s="26"/>
      <c r="N16" s="26"/>
    </row>
    <row r="17" spans="2:14" ht="15" customHeight="1">
      <c r="B17" s="26"/>
      <c r="C17" s="26"/>
      <c r="D17" s="26"/>
      <c r="E17" s="26"/>
      <c r="F17" s="113" t="str">
        <f>VLOOKUP("Units_kg_CO2_kg",Hidden_Translations!$B$11:$K$1173,Hidden_Translations!$C$8,FALSE)</f>
        <v>[kg CO2 eq/kg]</v>
      </c>
      <c r="G17" s="293" t="str">
        <f>VLOOKUP("Units_share",Hidden_Translations!$B$11:$K$1173,Hidden_Translations!$C$8,FALSE)</f>
        <v>[share]</v>
      </c>
      <c r="H17" s="387" t="str">
        <f>F17</f>
        <v>[kg CO2 eq/kg]</v>
      </c>
      <c r="K17" s="26"/>
      <c r="L17" s="26"/>
      <c r="M17" s="26"/>
      <c r="N17" s="26"/>
    </row>
    <row r="18" spans="2:14">
      <c r="B18" s="291" t="str">
        <f>Hidden_Calculation!B4</f>
        <v>#2: Single drop transport (supplier to producer)</v>
      </c>
      <c r="C18" s="291"/>
      <c r="D18" s="291"/>
      <c r="E18" s="291"/>
      <c r="F18" s="333" t="e">
        <f>Hidden_Calculation!K116</f>
        <v>#DIV/0!</v>
      </c>
      <c r="G18" s="353" t="e">
        <f>F18/$F$28</f>
        <v>#DIV/0!</v>
      </c>
      <c r="H18" s="351" t="e">
        <f>F18</f>
        <v>#DIV/0!</v>
      </c>
      <c r="K18" s="26"/>
      <c r="L18" s="26"/>
      <c r="M18" s="26"/>
      <c r="N18" s="26"/>
    </row>
    <row r="19" spans="2:14">
      <c r="B19" s="291" t="str">
        <f>Hidden_Calculation!P4</f>
        <v>#3: Producer</v>
      </c>
      <c r="C19" s="291"/>
      <c r="D19" s="291"/>
      <c r="E19" s="291"/>
      <c r="F19" s="333" t="e">
        <f>Hidden_Calculation!Y116</f>
        <v>#DIV/0!</v>
      </c>
      <c r="G19" s="353" t="e">
        <f t="shared" ref="G19:G27" si="0">F19/$F$28</f>
        <v>#DIV/0!</v>
      </c>
      <c r="H19" s="351" t="e">
        <f t="shared" ref="H19:H27" si="1">H18+F19</f>
        <v>#DIV/0!</v>
      </c>
      <c r="K19" s="26"/>
      <c r="L19" s="26"/>
      <c r="M19" s="26"/>
      <c r="N19" s="26"/>
    </row>
    <row r="20" spans="2:14" ht="30" customHeight="1">
      <c r="B20" s="498" t="str">
        <f>Hidden_Calculation!AD4</f>
        <v>#3a: Single drop transport (producer to docks/airport)</v>
      </c>
      <c r="C20" s="498"/>
      <c r="D20" s="498"/>
      <c r="E20" s="498"/>
      <c r="F20" s="333" t="e">
        <f>Hidden_Calculation!AM116</f>
        <v>#DIV/0!</v>
      </c>
      <c r="G20" s="353" t="e">
        <f t="shared" si="0"/>
        <v>#DIV/0!</v>
      </c>
      <c r="H20" s="351" t="e">
        <f t="shared" si="1"/>
        <v>#DIV/0!</v>
      </c>
      <c r="K20" s="26"/>
      <c r="L20" s="26"/>
      <c r="M20" s="26"/>
      <c r="N20" s="26"/>
    </row>
    <row r="21" spans="2:14">
      <c r="B21" s="291" t="str">
        <f>Hidden_Calculation!AR4</f>
        <v>#3b: Storage at docks/airport at origin</v>
      </c>
      <c r="C21" s="291"/>
      <c r="D21" s="291"/>
      <c r="E21" s="291"/>
      <c r="F21" s="333" t="e">
        <f>Hidden_Calculation!BA116</f>
        <v>#DIV/0!</v>
      </c>
      <c r="G21" s="353" t="e">
        <f t="shared" si="0"/>
        <v>#DIV/0!</v>
      </c>
      <c r="H21" s="351" t="e">
        <f t="shared" si="1"/>
        <v>#DIV/0!</v>
      </c>
      <c r="K21" s="26"/>
      <c r="L21" s="26"/>
      <c r="M21" s="26"/>
      <c r="N21" s="26"/>
    </row>
    <row r="22" spans="2:14">
      <c r="B22" s="291" t="str">
        <f>Hidden_Calculation!BE4</f>
        <v>#3c: Single drop transport (origin to destination)</v>
      </c>
      <c r="C22" s="291"/>
      <c r="D22" s="291"/>
      <c r="E22" s="291"/>
      <c r="F22" s="333" t="e">
        <f>Hidden_Calculation!BL116</f>
        <v>#DIV/0!</v>
      </c>
      <c r="G22" s="353" t="e">
        <f t="shared" si="0"/>
        <v>#DIV/0!</v>
      </c>
      <c r="H22" s="351" t="e">
        <f t="shared" si="1"/>
        <v>#DIV/0!</v>
      </c>
      <c r="K22" s="26"/>
      <c r="L22" s="26"/>
      <c r="M22" s="26"/>
      <c r="N22" s="26"/>
    </row>
    <row r="23" spans="2:14">
      <c r="B23" s="291" t="str">
        <f>Hidden_Calculation!BP4</f>
        <v>#3d: Storage at docks/airport at destination</v>
      </c>
      <c r="C23" s="291"/>
      <c r="D23" s="291"/>
      <c r="E23" s="291"/>
      <c r="F23" s="333" t="e">
        <f>Hidden_Calculation!BY116</f>
        <v>#DIV/0!</v>
      </c>
      <c r="G23" s="353" t="e">
        <f t="shared" si="0"/>
        <v>#DIV/0!</v>
      </c>
      <c r="H23" s="351" t="e">
        <f t="shared" si="1"/>
        <v>#DIV/0!</v>
      </c>
      <c r="K23" s="26"/>
      <c r="L23" s="26"/>
      <c r="M23" s="26"/>
      <c r="N23" s="26"/>
    </row>
    <row r="24" spans="2:14">
      <c r="B24" s="291" t="str">
        <f>Hidden_Calculation!CC4</f>
        <v>#4: Single drop transport (to distribution center)</v>
      </c>
      <c r="C24" s="291"/>
      <c r="D24" s="291"/>
      <c r="E24" s="291"/>
      <c r="F24" s="333" t="e">
        <f>Hidden_Calculation!CL116</f>
        <v>#DIV/0!</v>
      </c>
      <c r="G24" s="353" t="e">
        <f t="shared" si="0"/>
        <v>#DIV/0!</v>
      </c>
      <c r="H24" s="351" t="e">
        <f t="shared" si="1"/>
        <v>#DIV/0!</v>
      </c>
      <c r="K24" s="26"/>
      <c r="L24" s="26"/>
      <c r="M24" s="26"/>
      <c r="N24" s="26"/>
    </row>
    <row r="25" spans="2:14">
      <c r="B25" s="291" t="str">
        <f>Hidden_Calculation!CQ4</f>
        <v>#5: Distribution center</v>
      </c>
      <c r="C25" s="291"/>
      <c r="D25" s="291"/>
      <c r="E25" s="291"/>
      <c r="F25" s="333" t="e">
        <f>Hidden_Calculation!CZ116</f>
        <v>#DIV/0!</v>
      </c>
      <c r="G25" s="353" t="e">
        <f t="shared" si="0"/>
        <v>#DIV/0!</v>
      </c>
      <c r="H25" s="351" t="e">
        <f t="shared" si="1"/>
        <v>#DIV/0!</v>
      </c>
      <c r="K25" s="26"/>
      <c r="L25" s="26"/>
      <c r="M25" s="26"/>
      <c r="N25" s="26"/>
    </row>
    <row r="26" spans="2:14" ht="30" customHeight="1">
      <c r="B26" s="498" t="str">
        <f>Hidden_Calculation!DE4</f>
        <v>#6: Multi drop transport (distribution center to retailer)</v>
      </c>
      <c r="C26" s="498"/>
      <c r="D26" s="498"/>
      <c r="E26" s="498"/>
      <c r="F26" s="333" t="e">
        <f>Hidden_Calculation!DN116</f>
        <v>#DIV/0!</v>
      </c>
      <c r="G26" s="353" t="e">
        <f t="shared" si="0"/>
        <v>#DIV/0!</v>
      </c>
      <c r="H26" s="351" t="e">
        <f t="shared" si="1"/>
        <v>#DIV/0!</v>
      </c>
      <c r="K26" s="26"/>
      <c r="L26" s="26"/>
      <c r="M26" s="26"/>
      <c r="N26" s="26"/>
    </row>
    <row r="27" spans="2:14">
      <c r="B27" s="291" t="str">
        <f>Hidden_Calculation!DS4</f>
        <v>#7: Retailer</v>
      </c>
      <c r="C27" s="291"/>
      <c r="D27" s="291"/>
      <c r="E27" s="291"/>
      <c r="F27" s="333" t="e">
        <f>Hidden_Calculation!EB116</f>
        <v>#DIV/0!</v>
      </c>
      <c r="G27" s="353" t="e">
        <f t="shared" si="0"/>
        <v>#DIV/0!</v>
      </c>
      <c r="H27" s="351" t="e">
        <f t="shared" si="1"/>
        <v>#DIV/0!</v>
      </c>
      <c r="K27" s="26"/>
      <c r="L27" s="26"/>
      <c r="M27" s="26"/>
      <c r="N27" s="26"/>
    </row>
    <row r="28" spans="2:14" ht="15" customHeight="1">
      <c r="B28" s="292" t="str">
        <f>VLOOKUP("Results_Impact",Hidden_Translations!$B$11:$K$1173,Hidden_Translations!$C$8,FALSE)</f>
        <v>Impact per kg of final product</v>
      </c>
      <c r="C28" s="292"/>
      <c r="D28" s="292"/>
      <c r="E28" s="292"/>
      <c r="F28" s="334" t="e">
        <f>Hidden_Calculation!EP116</f>
        <v>#DIV/0!</v>
      </c>
      <c r="G28" s="292"/>
      <c r="H28" s="292"/>
      <c r="K28" s="26"/>
      <c r="L28" s="26"/>
      <c r="M28" s="26"/>
      <c r="N28" s="26"/>
    </row>
    <row r="29" spans="2:14" ht="15" customHeight="1">
      <c r="B29" s="287"/>
      <c r="C29" s="287"/>
      <c r="D29" s="286"/>
      <c r="E29" s="286"/>
      <c r="K29" s="26"/>
      <c r="L29" s="26"/>
      <c r="M29" s="26"/>
      <c r="N29" s="26"/>
    </row>
    <row r="30" spans="2:14" ht="15" customHeight="1">
      <c r="B30" s="294"/>
      <c r="C30" s="287"/>
      <c r="D30" s="286"/>
      <c r="E30" s="286"/>
      <c r="I30" s="175"/>
      <c r="J30" s="219"/>
      <c r="K30" s="26"/>
      <c r="L30" s="26"/>
      <c r="M30" s="26"/>
      <c r="N30" s="26"/>
    </row>
    <row r="31" spans="2:14" ht="15" customHeight="1">
      <c r="B31" s="287"/>
      <c r="C31" s="287"/>
      <c r="D31" s="286"/>
      <c r="E31" s="286"/>
      <c r="I31" s="175"/>
      <c r="J31" s="219"/>
      <c r="K31" s="26"/>
      <c r="L31" s="26"/>
      <c r="M31" s="26"/>
      <c r="N31" s="26"/>
    </row>
    <row r="32" spans="2:14" ht="15" customHeight="1">
      <c r="B32" s="287"/>
      <c r="C32" s="287"/>
      <c r="D32" s="286"/>
      <c r="E32" s="286"/>
      <c r="I32" s="175"/>
      <c r="J32" s="219"/>
      <c r="K32" s="26"/>
      <c r="L32" s="26"/>
      <c r="M32" s="26"/>
      <c r="N32" s="26"/>
    </row>
    <row r="33" spans="2:14" ht="15" customHeight="1">
      <c r="B33" s="287"/>
      <c r="C33" s="287"/>
      <c r="D33" s="286"/>
      <c r="E33" s="286"/>
      <c r="I33" s="175"/>
      <c r="J33" s="219"/>
      <c r="K33" s="26"/>
      <c r="L33" s="26"/>
      <c r="M33" s="26"/>
      <c r="N33" s="26"/>
    </row>
    <row r="34" spans="2:14" ht="15" customHeight="1">
      <c r="B34" s="287"/>
      <c r="C34" s="287"/>
      <c r="D34" s="286"/>
      <c r="E34" s="286"/>
      <c r="I34" s="175"/>
      <c r="J34" s="219"/>
      <c r="K34" s="26"/>
      <c r="L34" s="26"/>
      <c r="M34" s="26"/>
      <c r="N34" s="26"/>
    </row>
    <row r="35" spans="2:14" ht="15" customHeight="1">
      <c r="B35" s="287"/>
      <c r="C35" s="287"/>
      <c r="D35" s="286"/>
      <c r="E35" s="286"/>
      <c r="I35" s="175"/>
      <c r="J35" s="219"/>
      <c r="K35" s="26"/>
      <c r="L35" s="26"/>
      <c r="M35" s="26"/>
      <c r="N35" s="26"/>
    </row>
    <row r="36" spans="2:14" ht="15" customHeight="1">
      <c r="B36" s="287"/>
      <c r="C36" s="287"/>
      <c r="D36" s="286"/>
      <c r="E36" s="286"/>
      <c r="I36" s="175"/>
      <c r="J36" s="219"/>
      <c r="K36" s="26"/>
      <c r="L36" s="26"/>
      <c r="M36" s="26"/>
      <c r="N36" s="26"/>
    </row>
    <row r="37" spans="2:14" ht="15" customHeight="1">
      <c r="B37" s="287"/>
      <c r="C37" s="287"/>
      <c r="D37" s="286"/>
      <c r="E37" s="286"/>
      <c r="I37" s="175"/>
      <c r="J37" s="219"/>
      <c r="K37" s="26"/>
      <c r="L37" s="26"/>
      <c r="M37" s="26"/>
      <c r="N37" s="26"/>
    </row>
    <row r="38" spans="2:14" ht="15" customHeight="1">
      <c r="B38" s="287"/>
      <c r="C38" s="287"/>
      <c r="D38" s="286"/>
      <c r="E38" s="286"/>
      <c r="I38" s="175"/>
      <c r="J38" s="219"/>
      <c r="K38" s="26"/>
      <c r="L38" s="26"/>
      <c r="M38" s="26"/>
      <c r="N38" s="26"/>
    </row>
    <row r="39" spans="2:14" ht="15" customHeight="1">
      <c r="B39" s="287"/>
      <c r="C39" s="287"/>
      <c r="D39" s="286"/>
      <c r="E39" s="286"/>
      <c r="I39" s="175"/>
      <c r="J39" s="219"/>
      <c r="K39" s="26"/>
      <c r="L39" s="26"/>
      <c r="M39" s="26"/>
      <c r="N39" s="26"/>
    </row>
    <row r="40" spans="2:14" ht="15" customHeight="1">
      <c r="B40" s="287"/>
      <c r="C40" s="287"/>
      <c r="D40" s="286"/>
      <c r="E40" s="286"/>
      <c r="I40" s="175"/>
      <c r="J40" s="219"/>
      <c r="K40" s="26"/>
      <c r="L40" s="26"/>
      <c r="M40" s="26"/>
      <c r="N40" s="26"/>
    </row>
    <row r="41" spans="2:14" ht="15" customHeight="1">
      <c r="B41" s="287"/>
      <c r="C41" s="287"/>
      <c r="D41" s="286"/>
      <c r="E41" s="286"/>
      <c r="I41" s="175"/>
      <c r="J41" s="219"/>
      <c r="K41" s="26"/>
      <c r="L41" s="26"/>
      <c r="M41" s="26"/>
      <c r="N41" s="26"/>
    </row>
    <row r="42" spans="2:14" ht="15" customHeight="1">
      <c r="B42" s="287"/>
      <c r="C42" s="287"/>
      <c r="D42" s="286"/>
      <c r="E42" s="286"/>
      <c r="I42" s="175"/>
      <c r="J42" s="219"/>
      <c r="K42" s="26"/>
      <c r="L42" s="26"/>
      <c r="M42" s="26"/>
      <c r="N42" s="26"/>
    </row>
    <row r="43" spans="2:14" ht="15" customHeight="1">
      <c r="B43" s="287"/>
      <c r="C43" s="287"/>
      <c r="D43" s="286"/>
      <c r="E43" s="286"/>
      <c r="I43" s="175"/>
      <c r="J43" s="219"/>
      <c r="K43" s="26"/>
      <c r="L43" s="26"/>
      <c r="M43" s="26"/>
      <c r="N43" s="26"/>
    </row>
    <row r="44" spans="2:14" ht="15" customHeight="1">
      <c r="B44" s="287"/>
      <c r="C44" s="287"/>
      <c r="D44" s="286"/>
      <c r="E44" s="286"/>
      <c r="I44" s="175"/>
      <c r="J44" s="219"/>
      <c r="K44" s="26"/>
      <c r="L44" s="26"/>
      <c r="M44" s="26"/>
      <c r="N44" s="26"/>
    </row>
    <row r="45" spans="2:14" ht="15" customHeight="1">
      <c r="B45" s="287"/>
      <c r="C45" s="287"/>
      <c r="D45" s="286"/>
      <c r="E45" s="286"/>
      <c r="I45" s="175"/>
      <c r="J45" s="219"/>
      <c r="K45" s="26"/>
      <c r="L45" s="26"/>
      <c r="M45" s="26"/>
      <c r="N45" s="26"/>
    </row>
    <row r="46" spans="2:14" ht="15" customHeight="1">
      <c r="B46" s="287"/>
      <c r="C46" s="287"/>
      <c r="D46" s="286"/>
      <c r="E46" s="286"/>
      <c r="I46" s="175"/>
      <c r="J46" s="219"/>
      <c r="K46" s="26"/>
      <c r="L46" s="26"/>
      <c r="M46" s="26"/>
      <c r="N46" s="26"/>
    </row>
    <row r="47" spans="2:14" ht="15" customHeight="1">
      <c r="B47" s="287"/>
      <c r="C47" s="287"/>
      <c r="D47" s="286"/>
      <c r="E47" s="286"/>
      <c r="I47" s="175"/>
      <c r="J47" s="219"/>
      <c r="K47" s="26"/>
      <c r="L47" s="26"/>
      <c r="M47" s="26"/>
      <c r="N47" s="26"/>
    </row>
    <row r="48" spans="2:14" ht="15" customHeight="1">
      <c r="B48" s="287"/>
      <c r="C48" s="287"/>
      <c r="D48" s="286"/>
      <c r="E48" s="286"/>
      <c r="I48" s="175"/>
      <c r="J48" s="219"/>
      <c r="K48" s="26"/>
      <c r="L48" s="26"/>
      <c r="M48" s="26"/>
      <c r="N48" s="26"/>
    </row>
    <row r="49" spans="2:14" ht="15" customHeight="1">
      <c r="B49" s="287"/>
      <c r="C49" s="287"/>
      <c r="D49" s="286"/>
      <c r="E49" s="286"/>
      <c r="I49" s="175"/>
      <c r="J49" s="219"/>
      <c r="K49" s="26"/>
      <c r="L49" s="26"/>
      <c r="M49" s="26"/>
      <c r="N49" s="26"/>
    </row>
    <row r="50" spans="2:14" ht="15" customHeight="1">
      <c r="B50" s="287"/>
      <c r="C50" s="287"/>
      <c r="D50" s="286"/>
      <c r="E50" s="286"/>
      <c r="I50" s="175"/>
      <c r="J50" s="219"/>
      <c r="K50" s="26"/>
      <c r="L50" s="26"/>
      <c r="M50" s="26"/>
      <c r="N50" s="26"/>
    </row>
    <row r="51" spans="2:14" ht="15" customHeight="1">
      <c r="B51" s="287"/>
      <c r="C51" s="287"/>
      <c r="D51" s="286"/>
      <c r="E51" s="286"/>
      <c r="I51" s="175"/>
      <c r="J51" s="219"/>
      <c r="K51" s="26"/>
      <c r="L51" s="26"/>
      <c r="M51" s="26"/>
      <c r="N51" s="26"/>
    </row>
    <row r="52" spans="2:14" ht="15" customHeight="1">
      <c r="B52" s="287"/>
      <c r="C52" s="287"/>
      <c r="D52" s="286"/>
      <c r="E52" s="286"/>
      <c r="I52" s="175"/>
      <c r="J52" s="219"/>
      <c r="K52" s="26"/>
      <c r="L52" s="26"/>
      <c r="M52" s="26"/>
      <c r="N52" s="26"/>
    </row>
    <row r="53" spans="2:14" ht="15" customHeight="1">
      <c r="B53" s="300" t="str">
        <f>VLOOKUP("Results_Global_Warming_type",Hidden_Translations!$B$11:$K$1173,Hidden_Translations!$C$8,FALSE)</f>
        <v>GWP by type of process: Values per functional unit</v>
      </c>
      <c r="C53" s="300"/>
      <c r="D53" s="300"/>
      <c r="E53" s="300"/>
      <c r="F53" s="300"/>
      <c r="G53" s="300"/>
      <c r="H53" s="300"/>
      <c r="I53" s="175"/>
      <c r="J53" s="219"/>
      <c r="K53" s="26"/>
      <c r="L53" s="26"/>
      <c r="M53" s="26"/>
      <c r="N53" s="26"/>
    </row>
    <row r="54" spans="2:14" ht="15" customHeight="1">
      <c r="B54" s="26"/>
      <c r="C54" s="26"/>
      <c r="D54" s="26"/>
      <c r="E54" s="26"/>
      <c r="F54" s="289"/>
      <c r="I54" s="175"/>
      <c r="J54" s="219"/>
      <c r="K54" s="26"/>
      <c r="L54" s="26"/>
      <c r="M54" s="26"/>
      <c r="N54" s="26"/>
    </row>
    <row r="55" spans="2:14" ht="15" customHeight="1">
      <c r="B55" s="26"/>
      <c r="C55" s="26"/>
      <c r="D55" s="26"/>
      <c r="E55" s="26"/>
      <c r="F55" s="113" t="str">
        <f>F16</f>
        <v>GWP</v>
      </c>
      <c r="H55" s="175"/>
      <c r="I55" s="175"/>
      <c r="J55" s="219"/>
      <c r="K55" s="26"/>
      <c r="L55" s="26"/>
      <c r="M55" s="26"/>
      <c r="N55" s="26"/>
    </row>
    <row r="56" spans="2:14" ht="15" customHeight="1">
      <c r="B56" s="26"/>
      <c r="C56" s="26"/>
      <c r="D56" s="26"/>
      <c r="E56" s="26"/>
      <c r="F56" s="113" t="str">
        <f>F17</f>
        <v>[kg CO2 eq/kg]</v>
      </c>
      <c r="H56" s="175"/>
      <c r="I56" s="175"/>
      <c r="J56" s="219"/>
      <c r="K56" s="26"/>
      <c r="L56" s="26"/>
      <c r="M56" s="26"/>
      <c r="N56" s="26"/>
    </row>
    <row r="57" spans="2:14" ht="15" customHeight="1">
      <c r="B57" s="291" t="str">
        <f>Hidden_Calculation!EG108</f>
        <v>#1: LCA: Processing</v>
      </c>
      <c r="C57" s="291"/>
      <c r="D57" s="291"/>
      <c r="E57" s="291"/>
      <c r="F57" s="333" t="e">
        <f>Hidden_Calculation!EP108</f>
        <v>#DIV/0!</v>
      </c>
      <c r="G57" s="295" t="e">
        <f>F57/$F$28</f>
        <v>#DIV/0!</v>
      </c>
      <c r="H57" s="291"/>
      <c r="I57" s="175"/>
      <c r="J57" s="219"/>
      <c r="K57" s="26"/>
      <c r="L57" s="26"/>
      <c r="M57" s="26"/>
      <c r="N57" s="26"/>
    </row>
    <row r="58" spans="2:14" ht="15" customHeight="1">
      <c r="B58" s="291" t="str">
        <f>Hidden_Calculation!EG109</f>
        <v>#2: LCA: Packaging</v>
      </c>
      <c r="C58" s="291"/>
      <c r="D58" s="291"/>
      <c r="E58" s="291"/>
      <c r="F58" s="333" t="e">
        <f>Hidden_Calculation!EP109</f>
        <v>#DIV/0!</v>
      </c>
      <c r="G58" s="295" t="e">
        <f t="shared" ref="G58:G64" si="2">F58/$F$28</f>
        <v>#DIV/0!</v>
      </c>
      <c r="H58" s="291"/>
      <c r="I58" s="175"/>
      <c r="J58" s="219"/>
      <c r="K58" s="26"/>
      <c r="L58" s="26"/>
      <c r="M58" s="26"/>
      <c r="N58" s="26"/>
    </row>
    <row r="59" spans="2:14" ht="15" customHeight="1">
      <c r="B59" s="291" t="str">
        <f>Hidden_Calculation!EG110</f>
        <v>#3: LCA: Transport</v>
      </c>
      <c r="C59" s="291"/>
      <c r="D59" s="291"/>
      <c r="E59" s="291"/>
      <c r="F59" s="333" t="e">
        <f>Hidden_Calculation!EP110</f>
        <v>#DIV/0!</v>
      </c>
      <c r="G59" s="295" t="e">
        <f t="shared" si="2"/>
        <v>#DIV/0!</v>
      </c>
      <c r="H59" s="291"/>
      <c r="I59" s="175"/>
      <c r="J59" s="219"/>
      <c r="K59" s="26"/>
      <c r="L59" s="26"/>
      <c r="M59" s="26"/>
      <c r="N59" s="26"/>
    </row>
    <row r="60" spans="2:14" ht="15" customHeight="1">
      <c r="B60" s="291" t="str">
        <f>Hidden_Calculation!EG111</f>
        <v>#4: LCA: Water use</v>
      </c>
      <c r="C60" s="291"/>
      <c r="D60" s="291"/>
      <c r="E60" s="291"/>
      <c r="F60" s="333" t="e">
        <f>Hidden_Calculation!EP111</f>
        <v>#DIV/0!</v>
      </c>
      <c r="G60" s="295" t="e">
        <f t="shared" si="2"/>
        <v>#DIV/0!</v>
      </c>
      <c r="H60" s="291"/>
      <c r="I60" s="175"/>
      <c r="J60" s="219"/>
      <c r="K60" s="26"/>
      <c r="L60" s="26"/>
      <c r="M60" s="26"/>
      <c r="N60" s="26"/>
    </row>
    <row r="61" spans="2:14" ht="15" customHeight="1">
      <c r="B61" s="291" t="str">
        <f>Hidden_Calculation!EG112</f>
        <v>#5: LCA: Energy use</v>
      </c>
      <c r="C61" s="291"/>
      <c r="D61" s="291"/>
      <c r="E61" s="291"/>
      <c r="F61" s="333" t="e">
        <f>Hidden_Calculation!EP112</f>
        <v>#DIV/0!</v>
      </c>
      <c r="G61" s="295" t="e">
        <f t="shared" si="2"/>
        <v>#DIV/0!</v>
      </c>
      <c r="H61" s="291"/>
      <c r="I61" s="175"/>
      <c r="J61" s="219"/>
      <c r="K61" s="26"/>
      <c r="L61" s="26"/>
      <c r="M61" s="26"/>
      <c r="N61" s="26"/>
    </row>
    <row r="62" spans="2:14" ht="30" customHeight="1">
      <c r="B62" s="498" t="str">
        <f>Hidden_Calculation!EG113</f>
        <v>#6: LCA: Transport refrigeration (electricity and fuel only for refrigeration)</v>
      </c>
      <c r="C62" s="498"/>
      <c r="D62" s="498"/>
      <c r="E62" s="498"/>
      <c r="F62" s="333" t="e">
        <f>Hidden_Calculation!EP113</f>
        <v>#DIV/0!</v>
      </c>
      <c r="G62" s="295" t="e">
        <f t="shared" si="2"/>
        <v>#DIV/0!</v>
      </c>
      <c r="H62" s="291"/>
      <c r="I62" s="175"/>
      <c r="J62" s="219"/>
      <c r="K62" s="26"/>
      <c r="L62" s="26"/>
      <c r="M62" s="26"/>
      <c r="N62" s="26"/>
    </row>
    <row r="63" spans="2:14" ht="15" customHeight="1">
      <c r="B63" s="291" t="str">
        <f>Hidden_Calculation!EG114</f>
        <v>#7: LCA: Refrigerant slippage</v>
      </c>
      <c r="C63" s="291"/>
      <c r="D63" s="291"/>
      <c r="E63" s="291"/>
      <c r="F63" s="333" t="e">
        <f>Hidden_Calculation!EP114</f>
        <v>#DIV/0!</v>
      </c>
      <c r="G63" s="295" t="e">
        <f t="shared" si="2"/>
        <v>#DIV/0!</v>
      </c>
      <c r="H63" s="291"/>
      <c r="I63" s="175"/>
      <c r="J63" s="219"/>
      <c r="K63" s="26"/>
      <c r="L63" s="26"/>
      <c r="M63" s="26"/>
      <c r="N63" s="26"/>
    </row>
    <row r="64" spans="2:14" ht="15" customHeight="1">
      <c r="B64" s="291" t="str">
        <f>Hidden_Calculation!EG115</f>
        <v>#8: LCA: Waste</v>
      </c>
      <c r="C64" s="291"/>
      <c r="D64" s="291"/>
      <c r="E64" s="291"/>
      <c r="F64" s="333" t="e">
        <f>Hidden_Calculation!EP115</f>
        <v>#DIV/0!</v>
      </c>
      <c r="G64" s="295" t="e">
        <f t="shared" si="2"/>
        <v>#DIV/0!</v>
      </c>
      <c r="H64" s="291"/>
      <c r="I64" s="175"/>
      <c r="J64" s="219"/>
      <c r="K64" s="26"/>
      <c r="L64" s="26"/>
      <c r="M64" s="26"/>
      <c r="N64" s="26"/>
    </row>
    <row r="65" spans="2:14" ht="15" customHeight="1">
      <c r="B65" s="292" t="str">
        <f>B28</f>
        <v>Impact per kg of final product</v>
      </c>
      <c r="C65" s="291"/>
      <c r="D65" s="292"/>
      <c r="E65" s="291"/>
      <c r="F65" s="334" t="e">
        <f>Hidden_Calculation!EP116</f>
        <v>#DIV/0!</v>
      </c>
      <c r="G65" s="292"/>
      <c r="H65" s="291"/>
      <c r="I65" s="175"/>
      <c r="J65" s="219"/>
      <c r="K65" s="26"/>
      <c r="L65" s="26"/>
      <c r="M65" s="26"/>
      <c r="N65" s="26"/>
    </row>
    <row r="66" spans="2:14" ht="15" customHeight="1">
      <c r="B66" s="287"/>
      <c r="C66" s="287"/>
      <c r="D66" s="286"/>
      <c r="E66" s="286"/>
      <c r="I66" s="175"/>
      <c r="J66" s="219"/>
      <c r="K66" s="26"/>
      <c r="L66" s="26"/>
      <c r="M66" s="26"/>
      <c r="N66" s="26"/>
    </row>
    <row r="67" spans="2:14" ht="15" customHeight="1">
      <c r="B67" s="287"/>
      <c r="C67" s="287"/>
      <c r="D67" s="286"/>
      <c r="E67" s="286"/>
      <c r="I67" s="175"/>
      <c r="J67" s="219"/>
      <c r="K67" s="26"/>
      <c r="L67" s="26"/>
      <c r="M67" s="26"/>
      <c r="N67" s="26"/>
    </row>
    <row r="68" spans="2:14" ht="15" customHeight="1">
      <c r="B68" s="502" t="str">
        <f>VLOOKUP("Results_Cumulated_Energy",Hidden_Translations!$B$11:$K$1173,Hidden_Translations!$C$8,FALSE)</f>
        <v>Cumulated energy demand (CED)</v>
      </c>
      <c r="C68" s="502"/>
      <c r="D68" s="502"/>
      <c r="E68" s="502"/>
      <c r="F68" s="502"/>
      <c r="G68" s="502"/>
      <c r="H68" s="502"/>
      <c r="I68" s="175"/>
      <c r="J68" s="26"/>
      <c r="K68" s="26"/>
      <c r="L68" s="26"/>
      <c r="M68" s="26"/>
      <c r="N68" s="26"/>
    </row>
    <row r="69" spans="2:14" ht="15" customHeight="1">
      <c r="B69" s="23"/>
      <c r="F69" s="499"/>
      <c r="G69" s="499"/>
      <c r="H69" s="499"/>
      <c r="I69" s="175"/>
      <c r="J69" s="26"/>
      <c r="K69" s="26"/>
      <c r="L69" s="26"/>
      <c r="M69" s="26"/>
      <c r="N69" s="26"/>
    </row>
    <row r="70" spans="2:14" ht="45" customHeight="1">
      <c r="B70" s="500" t="str">
        <f>VLOOKUP("Results_Cumulated_Energy_Text",Hidden_Translations!$B$11:$K$1173,Hidden_Translations!$C$8,FALSE)</f>
        <v>The Cumulative Energy Demand (CED) is based on the method published by the environmental data system "ecoinvent version 2.0" expanded by PRé Consultants for raw materials available in the life cylce database "SimaPro 7".</v>
      </c>
      <c r="C70" s="500"/>
      <c r="D70" s="500"/>
      <c r="E70" s="500"/>
      <c r="F70" s="500"/>
      <c r="G70" s="500"/>
      <c r="H70" s="500"/>
      <c r="I70" s="175"/>
      <c r="J70" s="26"/>
      <c r="K70" s="26"/>
      <c r="L70" s="26"/>
      <c r="M70" s="26"/>
      <c r="N70" s="26"/>
    </row>
    <row r="71" spans="2:14" ht="15" customHeight="1">
      <c r="B71" s="26"/>
      <c r="C71" s="26"/>
      <c r="D71" s="26"/>
      <c r="E71" s="26"/>
      <c r="F71" s="113"/>
      <c r="G71" s="293"/>
      <c r="H71" s="285"/>
      <c r="I71" s="175"/>
      <c r="J71" s="219"/>
      <c r="K71" s="26"/>
      <c r="L71" s="26"/>
      <c r="M71" s="26"/>
      <c r="N71" s="26"/>
    </row>
    <row r="72" spans="2:14" ht="15" customHeight="1">
      <c r="B72" s="300" t="str">
        <f>VLOOKUP("Results_Cumulated_Energy_Stage",Hidden_Translations!$B$11:$K$1173,Hidden_Translations!$C$8,FALSE)</f>
        <v>CED by stage: Value per functional unit</v>
      </c>
      <c r="C72" s="300"/>
      <c r="D72" s="300"/>
      <c r="E72" s="300"/>
      <c r="F72" s="300"/>
      <c r="G72" s="300"/>
      <c r="H72" s="300"/>
      <c r="I72" s="175"/>
      <c r="J72" s="219"/>
      <c r="K72" s="26"/>
      <c r="L72" s="26"/>
      <c r="M72" s="26"/>
      <c r="N72" s="26"/>
    </row>
    <row r="73" spans="2:14" ht="15" customHeight="1">
      <c r="B73" s="26"/>
      <c r="C73" s="26"/>
      <c r="D73" s="26"/>
      <c r="E73" s="26"/>
      <c r="F73" s="289"/>
      <c r="I73" s="175"/>
      <c r="J73" s="219"/>
      <c r="K73" s="26"/>
      <c r="L73" s="26"/>
      <c r="M73" s="26"/>
      <c r="N73" s="26"/>
    </row>
    <row r="74" spans="2:14" ht="15" customHeight="1">
      <c r="B74" s="299" t="str">
        <f>B14</f>
        <v>Please note that the impact from the raw materials is attributed to the producer.</v>
      </c>
      <c r="C74" s="26"/>
      <c r="D74" s="26"/>
      <c r="E74" s="26"/>
      <c r="F74" s="289"/>
      <c r="I74" s="175"/>
      <c r="J74" s="219"/>
      <c r="K74" s="26"/>
      <c r="L74" s="26"/>
      <c r="M74" s="26"/>
      <c r="N74" s="26"/>
    </row>
    <row r="75" spans="2:14" ht="15" customHeight="1">
      <c r="B75" s="26"/>
      <c r="C75" s="26"/>
      <c r="D75" s="26"/>
      <c r="E75" s="26"/>
      <c r="F75" s="289"/>
      <c r="I75" s="175"/>
      <c r="J75" s="219"/>
      <c r="K75" s="26"/>
      <c r="L75" s="26"/>
      <c r="M75" s="26"/>
      <c r="N75" s="26"/>
    </row>
    <row r="76" spans="2:14" ht="15" customHeight="1">
      <c r="B76" s="26"/>
      <c r="C76" s="26"/>
      <c r="D76" s="26"/>
      <c r="E76" s="26"/>
      <c r="F76" s="113" t="str">
        <f>VLOOKUP("Results_CED",Hidden_Translations!$B$11:$K$1173,Hidden_Translations!$C$8,FALSE)</f>
        <v>CED</v>
      </c>
      <c r="G76" s="293" t="str">
        <f>F76</f>
        <v>CED</v>
      </c>
      <c r="H76" s="293" t="str">
        <f>VLOOKUP("Results_CED_Cumulated",Hidden_Translations!$B$11:$K$1173,Hidden_Translations!$C$8,FALSE)</f>
        <v>CED cumulated</v>
      </c>
      <c r="I76" s="175"/>
      <c r="J76" s="219"/>
      <c r="K76" s="26"/>
      <c r="L76" s="26"/>
      <c r="M76" s="26"/>
      <c r="N76" s="26"/>
    </row>
    <row r="77" spans="2:14" ht="15" customHeight="1">
      <c r="B77" s="26"/>
      <c r="C77" s="26"/>
      <c r="D77" s="26"/>
      <c r="E77" s="26"/>
      <c r="F77" s="113" t="str">
        <f>VLOOKUP("Units_Mj_kg",Hidden_Translations!$B$11:$K$1173,Hidden_Translations!$C$8,FALSE)</f>
        <v>[MJ/kg]</v>
      </c>
      <c r="G77" s="293" t="str">
        <f>G17</f>
        <v>[share]</v>
      </c>
      <c r="H77" s="285" t="str">
        <f>F77</f>
        <v>[MJ/kg]</v>
      </c>
      <c r="I77" s="175"/>
      <c r="J77" s="219"/>
      <c r="K77" s="26"/>
      <c r="L77" s="26"/>
      <c r="M77" s="26"/>
      <c r="N77" s="26"/>
    </row>
    <row r="78" spans="2:14" ht="15" customHeight="1">
      <c r="B78" s="291" t="str">
        <f t="shared" ref="B78:B88" si="3">B18</f>
        <v>#2: Single drop transport (supplier to producer)</v>
      </c>
      <c r="C78" s="291"/>
      <c r="D78" s="291"/>
      <c r="E78" s="291"/>
      <c r="F78" s="333" t="e">
        <f>Hidden_Calculation!L116</f>
        <v>#DIV/0!</v>
      </c>
      <c r="G78" s="295" t="e">
        <f>F78/$F$88</f>
        <v>#DIV/0!</v>
      </c>
      <c r="H78" s="352" t="e">
        <f>F78</f>
        <v>#DIV/0!</v>
      </c>
      <c r="I78" s="175"/>
      <c r="J78" s="219"/>
      <c r="K78" s="26"/>
      <c r="L78" s="26"/>
      <c r="M78" s="26"/>
      <c r="N78" s="26"/>
    </row>
    <row r="79" spans="2:14" ht="15" customHeight="1">
      <c r="B79" s="291" t="str">
        <f t="shared" si="3"/>
        <v>#3: Producer</v>
      </c>
      <c r="C79" s="291"/>
      <c r="D79" s="291"/>
      <c r="E79" s="291"/>
      <c r="F79" s="333" t="e">
        <f>Hidden_Calculation!Z116</f>
        <v>#DIV/0!</v>
      </c>
      <c r="G79" s="295" t="e">
        <f t="shared" ref="G79:G87" si="4">F79/$F$88</f>
        <v>#DIV/0!</v>
      </c>
      <c r="H79" s="352" t="e">
        <f t="shared" ref="H79:H87" si="5">H78+F79</f>
        <v>#DIV/0!</v>
      </c>
      <c r="I79" s="175"/>
      <c r="J79" s="219"/>
      <c r="K79" s="26"/>
      <c r="L79" s="26"/>
      <c r="M79" s="26"/>
      <c r="N79" s="26"/>
    </row>
    <row r="80" spans="2:14" ht="30" customHeight="1">
      <c r="B80" s="498" t="str">
        <f t="shared" si="3"/>
        <v>#3a: Single drop transport (producer to docks/airport)</v>
      </c>
      <c r="C80" s="498"/>
      <c r="D80" s="498"/>
      <c r="E80" s="498"/>
      <c r="F80" s="333" t="e">
        <f>Hidden_Calculation!AO116</f>
        <v>#DIV/0!</v>
      </c>
      <c r="G80" s="295" t="e">
        <f t="shared" si="4"/>
        <v>#DIV/0!</v>
      </c>
      <c r="H80" s="352" t="e">
        <f t="shared" si="5"/>
        <v>#DIV/0!</v>
      </c>
      <c r="I80" s="175"/>
      <c r="J80" s="219"/>
      <c r="K80" s="26"/>
      <c r="L80" s="26"/>
      <c r="M80" s="26"/>
      <c r="N80" s="26"/>
    </row>
    <row r="81" spans="2:14">
      <c r="B81" s="291" t="str">
        <f t="shared" si="3"/>
        <v>#3b: Storage at docks/airport at origin</v>
      </c>
      <c r="C81" s="291"/>
      <c r="D81" s="291"/>
      <c r="E81" s="291"/>
      <c r="F81" s="333" t="e">
        <f>Hidden_Calculation!BB116</f>
        <v>#DIV/0!</v>
      </c>
      <c r="G81" s="295" t="e">
        <f t="shared" si="4"/>
        <v>#DIV/0!</v>
      </c>
      <c r="H81" s="352" t="e">
        <f t="shared" si="5"/>
        <v>#DIV/0!</v>
      </c>
      <c r="I81" s="175"/>
      <c r="J81" s="219"/>
      <c r="K81" s="26"/>
      <c r="L81" s="26"/>
      <c r="M81" s="26"/>
      <c r="N81" s="26"/>
    </row>
    <row r="82" spans="2:14" ht="15" customHeight="1">
      <c r="B82" s="291" t="str">
        <f t="shared" si="3"/>
        <v>#3c: Single drop transport (origin to destination)</v>
      </c>
      <c r="C82" s="291"/>
      <c r="D82" s="291"/>
      <c r="E82" s="291"/>
      <c r="F82" s="333" t="e">
        <f>Hidden_Calculation!BM116</f>
        <v>#DIV/0!</v>
      </c>
      <c r="G82" s="295" t="e">
        <f t="shared" si="4"/>
        <v>#DIV/0!</v>
      </c>
      <c r="H82" s="352" t="e">
        <f t="shared" si="5"/>
        <v>#DIV/0!</v>
      </c>
      <c r="I82" s="175"/>
      <c r="J82" s="219"/>
      <c r="K82" s="26"/>
      <c r="L82" s="26"/>
      <c r="M82" s="26"/>
      <c r="N82" s="26"/>
    </row>
    <row r="83" spans="2:14" ht="15" customHeight="1">
      <c r="B83" s="291" t="str">
        <f t="shared" si="3"/>
        <v>#3d: Storage at docks/airport at destination</v>
      </c>
      <c r="C83" s="291"/>
      <c r="D83" s="291"/>
      <c r="E83" s="291"/>
      <c r="F83" s="333" t="e">
        <f>Hidden_Calculation!BZ116</f>
        <v>#DIV/0!</v>
      </c>
      <c r="G83" s="295" t="e">
        <f t="shared" si="4"/>
        <v>#DIV/0!</v>
      </c>
      <c r="H83" s="352" t="e">
        <f t="shared" si="5"/>
        <v>#DIV/0!</v>
      </c>
      <c r="I83" s="175"/>
      <c r="J83" s="219"/>
      <c r="K83" s="26"/>
      <c r="L83" s="26"/>
      <c r="M83" s="26"/>
      <c r="N83" s="26"/>
    </row>
    <row r="84" spans="2:14" ht="15" customHeight="1">
      <c r="B84" s="291" t="str">
        <f t="shared" si="3"/>
        <v>#4: Single drop transport (to distribution center)</v>
      </c>
      <c r="C84" s="291"/>
      <c r="D84" s="291"/>
      <c r="E84" s="291"/>
      <c r="F84" s="333" t="e">
        <f>Hidden_Calculation!CM116</f>
        <v>#DIV/0!</v>
      </c>
      <c r="G84" s="295" t="e">
        <f t="shared" si="4"/>
        <v>#DIV/0!</v>
      </c>
      <c r="H84" s="352" t="e">
        <f t="shared" si="5"/>
        <v>#DIV/0!</v>
      </c>
      <c r="I84" s="175"/>
      <c r="J84" s="219"/>
      <c r="K84" s="26"/>
      <c r="L84" s="26"/>
      <c r="M84" s="26"/>
      <c r="N84" s="26"/>
    </row>
    <row r="85" spans="2:14" ht="15" customHeight="1">
      <c r="B85" s="291" t="str">
        <f t="shared" si="3"/>
        <v>#5: Distribution center</v>
      </c>
      <c r="C85" s="291"/>
      <c r="D85" s="291"/>
      <c r="E85" s="291"/>
      <c r="F85" s="333" t="e">
        <f>Hidden_Calculation!DA116</f>
        <v>#DIV/0!</v>
      </c>
      <c r="G85" s="295" t="e">
        <f t="shared" si="4"/>
        <v>#DIV/0!</v>
      </c>
      <c r="H85" s="352" t="e">
        <f t="shared" si="5"/>
        <v>#DIV/0!</v>
      </c>
      <c r="I85" s="175"/>
      <c r="J85" s="219"/>
      <c r="K85" s="26"/>
      <c r="L85" s="26"/>
      <c r="M85" s="26"/>
      <c r="N85" s="26"/>
    </row>
    <row r="86" spans="2:14" ht="30" customHeight="1">
      <c r="B86" s="498" t="str">
        <f t="shared" si="3"/>
        <v>#6: Multi drop transport (distribution center to retailer)</v>
      </c>
      <c r="C86" s="498"/>
      <c r="D86" s="498"/>
      <c r="E86" s="498"/>
      <c r="F86" s="333" t="e">
        <f>Hidden_Calculation!DO116</f>
        <v>#DIV/0!</v>
      </c>
      <c r="G86" s="295" t="e">
        <f t="shared" si="4"/>
        <v>#DIV/0!</v>
      </c>
      <c r="H86" s="352" t="e">
        <f t="shared" si="5"/>
        <v>#DIV/0!</v>
      </c>
      <c r="I86" s="175"/>
      <c r="J86" s="219"/>
      <c r="K86" s="26"/>
      <c r="L86" s="26"/>
      <c r="M86" s="26"/>
      <c r="N86" s="26"/>
    </row>
    <row r="87" spans="2:14" ht="15" customHeight="1">
      <c r="B87" s="291" t="str">
        <f t="shared" si="3"/>
        <v>#7: Retailer</v>
      </c>
      <c r="C87" s="291"/>
      <c r="D87" s="291"/>
      <c r="E87" s="291"/>
      <c r="F87" s="333" t="e">
        <f>Hidden_Calculation!EC116</f>
        <v>#DIV/0!</v>
      </c>
      <c r="G87" s="295" t="e">
        <f t="shared" si="4"/>
        <v>#DIV/0!</v>
      </c>
      <c r="H87" s="352" t="e">
        <f t="shared" si="5"/>
        <v>#DIV/0!</v>
      </c>
      <c r="I87" s="175"/>
      <c r="J87" s="219"/>
      <c r="K87" s="26"/>
      <c r="L87" s="26"/>
      <c r="M87" s="26"/>
      <c r="N87" s="26"/>
    </row>
    <row r="88" spans="2:14" ht="15" customHeight="1">
      <c r="B88" s="292" t="str">
        <f t="shared" si="3"/>
        <v>Impact per kg of final product</v>
      </c>
      <c r="C88" s="292"/>
      <c r="D88" s="292"/>
      <c r="E88" s="292"/>
      <c r="F88" s="334" t="e">
        <f>Hidden_Calculation!EQ116</f>
        <v>#DIV/0!</v>
      </c>
      <c r="G88" s="292"/>
      <c r="H88" s="292"/>
      <c r="I88" s="175"/>
      <c r="J88" s="219"/>
      <c r="K88" s="26"/>
      <c r="L88" s="26"/>
      <c r="M88" s="26"/>
      <c r="N88" s="26"/>
    </row>
    <row r="89" spans="2:14" ht="15" customHeight="1">
      <c r="B89" s="292"/>
      <c r="C89" s="292"/>
      <c r="D89" s="292"/>
      <c r="E89" s="292"/>
      <c r="H89" s="292"/>
      <c r="I89" s="175"/>
      <c r="J89" s="219"/>
      <c r="K89" s="26"/>
      <c r="L89" s="26"/>
      <c r="M89" s="26"/>
      <c r="N89" s="26"/>
    </row>
    <row r="90" spans="2:14" ht="15" customHeight="1">
      <c r="B90" s="26"/>
      <c r="C90" s="26"/>
      <c r="D90" s="26"/>
      <c r="E90" s="26"/>
      <c r="F90" s="290"/>
      <c r="I90" s="175"/>
      <c r="J90" s="219"/>
      <c r="K90" s="26"/>
      <c r="L90" s="26"/>
      <c r="M90" s="26"/>
      <c r="N90" s="26"/>
    </row>
    <row r="91" spans="2:14" ht="15" customHeight="1">
      <c r="B91" s="294"/>
      <c r="C91" s="287"/>
      <c r="D91" s="286"/>
      <c r="E91" s="286"/>
      <c r="I91" s="175"/>
      <c r="J91" s="219"/>
      <c r="K91" s="26"/>
      <c r="L91" s="26"/>
      <c r="M91" s="26"/>
      <c r="N91" s="26"/>
    </row>
    <row r="92" spans="2:14" ht="15" customHeight="1">
      <c r="B92" s="287"/>
      <c r="C92" s="287"/>
      <c r="D92" s="286"/>
      <c r="E92" s="286"/>
      <c r="I92" s="175"/>
      <c r="J92" s="219"/>
      <c r="K92" s="26"/>
      <c r="L92" s="26"/>
      <c r="M92" s="26"/>
      <c r="N92" s="26"/>
    </row>
    <row r="93" spans="2:14" ht="15" customHeight="1">
      <c r="B93" s="287"/>
      <c r="C93" s="287"/>
      <c r="D93" s="286"/>
      <c r="E93" s="286"/>
      <c r="I93" s="175"/>
      <c r="J93" s="219"/>
      <c r="K93" s="26"/>
      <c r="L93" s="26"/>
      <c r="M93" s="26"/>
      <c r="N93" s="26"/>
    </row>
    <row r="94" spans="2:14" ht="15" customHeight="1">
      <c r="B94" s="287"/>
      <c r="C94" s="287"/>
      <c r="D94" s="286"/>
      <c r="E94" s="286"/>
      <c r="I94" s="175"/>
      <c r="J94" s="219"/>
      <c r="K94" s="26"/>
      <c r="L94" s="26"/>
      <c r="M94" s="26"/>
      <c r="N94" s="26"/>
    </row>
    <row r="95" spans="2:14" ht="15" customHeight="1">
      <c r="B95" s="287"/>
      <c r="C95" s="287"/>
      <c r="D95" s="286"/>
      <c r="E95" s="286"/>
      <c r="I95" s="175"/>
      <c r="J95" s="219"/>
      <c r="K95" s="26"/>
      <c r="L95" s="26"/>
      <c r="M95" s="26"/>
      <c r="N95" s="26"/>
    </row>
    <row r="96" spans="2:14" ht="15" customHeight="1">
      <c r="B96" s="287"/>
      <c r="C96" s="287"/>
      <c r="D96" s="286"/>
      <c r="E96" s="286"/>
      <c r="I96" s="175"/>
      <c r="J96" s="219"/>
      <c r="K96" s="26"/>
      <c r="L96" s="26"/>
      <c r="M96" s="26"/>
      <c r="N96" s="26"/>
    </row>
    <row r="97" spans="2:14" ht="15" customHeight="1">
      <c r="B97" s="287"/>
      <c r="C97" s="287"/>
      <c r="D97" s="286"/>
      <c r="E97" s="286"/>
      <c r="I97" s="175"/>
      <c r="J97" s="219"/>
      <c r="K97" s="26"/>
      <c r="L97" s="26"/>
      <c r="M97" s="26"/>
      <c r="N97" s="26"/>
    </row>
    <row r="98" spans="2:14" ht="15" customHeight="1">
      <c r="B98" s="287"/>
      <c r="C98" s="287"/>
      <c r="D98" s="286"/>
      <c r="E98" s="286"/>
      <c r="I98" s="175"/>
      <c r="J98" s="219"/>
      <c r="K98" s="26"/>
      <c r="L98" s="26"/>
      <c r="M98" s="26"/>
      <c r="N98" s="26"/>
    </row>
    <row r="99" spans="2:14" ht="15" customHeight="1">
      <c r="B99" s="287"/>
      <c r="C99" s="287"/>
      <c r="D99" s="286"/>
      <c r="E99" s="286"/>
      <c r="I99" s="175"/>
      <c r="J99" s="219"/>
      <c r="K99" s="26"/>
      <c r="L99" s="26"/>
      <c r="M99" s="26"/>
      <c r="N99" s="26"/>
    </row>
    <row r="100" spans="2:14" ht="15" customHeight="1">
      <c r="B100" s="287"/>
      <c r="C100" s="287"/>
      <c r="D100" s="286"/>
      <c r="E100" s="286"/>
      <c r="I100" s="175"/>
      <c r="J100" s="219"/>
      <c r="K100" s="26"/>
      <c r="L100" s="26"/>
      <c r="M100" s="26"/>
      <c r="N100" s="26"/>
    </row>
    <row r="101" spans="2:14" ht="15" customHeight="1">
      <c r="B101" s="287"/>
      <c r="C101" s="287"/>
      <c r="D101" s="286"/>
      <c r="E101" s="286"/>
      <c r="I101" s="175"/>
      <c r="J101" s="219"/>
      <c r="K101" s="26"/>
      <c r="L101" s="26"/>
      <c r="M101" s="26"/>
      <c r="N101" s="26"/>
    </row>
    <row r="102" spans="2:14" ht="15" customHeight="1">
      <c r="B102" s="287"/>
      <c r="C102" s="287"/>
      <c r="D102" s="286"/>
      <c r="E102" s="286"/>
      <c r="I102" s="175"/>
      <c r="J102" s="219"/>
      <c r="K102" s="26"/>
      <c r="L102" s="26"/>
      <c r="M102" s="26"/>
      <c r="N102" s="26"/>
    </row>
    <row r="103" spans="2:14" ht="15" customHeight="1">
      <c r="B103" s="287"/>
      <c r="C103" s="287"/>
      <c r="D103" s="286"/>
      <c r="E103" s="286"/>
      <c r="I103" s="175"/>
      <c r="J103" s="219"/>
      <c r="K103" s="26"/>
      <c r="L103" s="26"/>
      <c r="M103" s="26"/>
      <c r="N103" s="26"/>
    </row>
    <row r="104" spans="2:14" ht="15" customHeight="1">
      <c r="B104" s="287"/>
      <c r="C104" s="287"/>
      <c r="D104" s="286"/>
      <c r="E104" s="286"/>
      <c r="I104" s="175"/>
      <c r="J104" s="219"/>
      <c r="K104" s="26"/>
      <c r="L104" s="26"/>
      <c r="M104" s="26"/>
      <c r="N104" s="26"/>
    </row>
    <row r="105" spans="2:14" ht="15" customHeight="1">
      <c r="B105" s="287"/>
      <c r="C105" s="287"/>
      <c r="D105" s="286"/>
      <c r="E105" s="286"/>
      <c r="I105" s="175"/>
      <c r="J105" s="219"/>
      <c r="K105" s="26"/>
      <c r="L105" s="26"/>
      <c r="M105" s="26"/>
      <c r="N105" s="26"/>
    </row>
    <row r="106" spans="2:14" ht="15" customHeight="1">
      <c r="B106" s="287"/>
      <c r="C106" s="287"/>
      <c r="D106" s="286"/>
      <c r="E106" s="286"/>
      <c r="I106" s="175"/>
      <c r="J106" s="219"/>
      <c r="K106" s="26"/>
      <c r="L106" s="26"/>
      <c r="M106" s="26"/>
      <c r="N106" s="26"/>
    </row>
    <row r="107" spans="2:14" ht="15" customHeight="1">
      <c r="B107" s="287"/>
      <c r="C107" s="287"/>
      <c r="D107" s="286"/>
      <c r="E107" s="286"/>
      <c r="I107" s="175"/>
      <c r="J107" s="219"/>
      <c r="K107" s="26"/>
      <c r="L107" s="26"/>
      <c r="M107" s="26"/>
      <c r="N107" s="26"/>
    </row>
    <row r="108" spans="2:14" ht="15" customHeight="1">
      <c r="B108" s="287"/>
      <c r="C108" s="287"/>
      <c r="D108" s="286"/>
      <c r="E108" s="286"/>
      <c r="I108" s="175"/>
      <c r="J108" s="219"/>
      <c r="K108" s="26"/>
      <c r="L108" s="26"/>
      <c r="M108" s="26"/>
      <c r="N108" s="26"/>
    </row>
    <row r="109" spans="2:14" ht="15" customHeight="1">
      <c r="B109" s="287"/>
      <c r="C109" s="287"/>
      <c r="D109" s="286"/>
      <c r="E109" s="286"/>
      <c r="I109" s="175"/>
      <c r="J109" s="219"/>
      <c r="K109" s="26"/>
      <c r="L109" s="26"/>
      <c r="M109" s="26"/>
      <c r="N109" s="26"/>
    </row>
    <row r="110" spans="2:14" ht="15" customHeight="1">
      <c r="B110" s="287"/>
      <c r="C110" s="287"/>
      <c r="D110" s="286"/>
      <c r="E110" s="286"/>
      <c r="I110" s="175"/>
      <c r="J110" s="219"/>
      <c r="K110" s="26"/>
      <c r="L110" s="26"/>
      <c r="M110" s="26"/>
      <c r="N110" s="26"/>
    </row>
    <row r="111" spans="2:14" ht="15" customHeight="1">
      <c r="B111" s="287"/>
      <c r="C111" s="287"/>
      <c r="D111" s="286"/>
      <c r="E111" s="286"/>
      <c r="I111" s="175"/>
      <c r="J111" s="219"/>
      <c r="K111" s="26"/>
      <c r="L111" s="26"/>
      <c r="M111" s="26"/>
      <c r="N111" s="26"/>
    </row>
    <row r="112" spans="2:14" ht="15" customHeight="1">
      <c r="B112" s="287"/>
      <c r="C112" s="287"/>
      <c r="D112" s="286"/>
      <c r="E112" s="286"/>
      <c r="I112" s="175"/>
      <c r="J112" s="219"/>
      <c r="K112" s="26"/>
      <c r="L112" s="26"/>
      <c r="M112" s="26"/>
      <c r="N112" s="26"/>
    </row>
    <row r="113" spans="2:14" ht="15" customHeight="1">
      <c r="B113" s="287"/>
      <c r="C113" s="287"/>
      <c r="D113" s="286"/>
      <c r="E113" s="286"/>
      <c r="I113" s="175"/>
      <c r="J113" s="219"/>
      <c r="K113" s="26"/>
      <c r="L113" s="26"/>
      <c r="M113" s="26"/>
      <c r="N113" s="26"/>
    </row>
    <row r="114" spans="2:14" ht="15" customHeight="1">
      <c r="B114" s="300" t="str">
        <f>VLOOKUP("Results_Cumulated_Energy_type",Hidden_Translations!$B$11:$K$1173,Hidden_Translations!$C$8,FALSE)</f>
        <v>CED by type of process: Values per functional unit</v>
      </c>
      <c r="C114" s="300"/>
      <c r="D114" s="300"/>
      <c r="E114" s="300"/>
      <c r="F114" s="300"/>
      <c r="G114" s="300"/>
      <c r="H114" s="300"/>
      <c r="I114" s="175"/>
      <c r="J114" s="219"/>
      <c r="K114" s="26"/>
      <c r="L114" s="26"/>
      <c r="M114" s="26"/>
      <c r="N114" s="26"/>
    </row>
    <row r="115" spans="2:14" ht="15" customHeight="1">
      <c r="B115" s="26"/>
      <c r="C115" s="26"/>
      <c r="D115" s="26"/>
      <c r="E115" s="26"/>
      <c r="F115" s="289"/>
      <c r="I115" s="175"/>
      <c r="J115" s="219"/>
      <c r="K115" s="26"/>
      <c r="L115" s="26"/>
      <c r="M115" s="26"/>
      <c r="N115" s="26"/>
    </row>
    <row r="116" spans="2:14" ht="15" customHeight="1">
      <c r="B116" s="26"/>
      <c r="C116" s="26"/>
      <c r="D116" s="26"/>
      <c r="E116" s="26"/>
      <c r="F116" s="113" t="str">
        <f>F76</f>
        <v>CED</v>
      </c>
      <c r="H116" s="175"/>
      <c r="I116" s="175"/>
      <c r="J116" s="219"/>
      <c r="K116" s="26"/>
      <c r="L116" s="26"/>
      <c r="M116" s="26"/>
      <c r="N116" s="26"/>
    </row>
    <row r="117" spans="2:14" ht="15" customHeight="1">
      <c r="B117" s="26"/>
      <c r="C117" s="26"/>
      <c r="D117" s="26"/>
      <c r="E117" s="26"/>
      <c r="F117" s="113" t="str">
        <f>F77</f>
        <v>[MJ/kg]</v>
      </c>
      <c r="H117" s="175"/>
      <c r="I117" s="175"/>
      <c r="J117" s="219"/>
      <c r="K117" s="26"/>
      <c r="L117" s="26"/>
      <c r="M117" s="26"/>
      <c r="N117" s="26"/>
    </row>
    <row r="118" spans="2:14" ht="15" customHeight="1">
      <c r="B118" s="291" t="str">
        <f t="shared" ref="B118:B126" si="6">B57</f>
        <v>#1: LCA: Processing</v>
      </c>
      <c r="C118" s="291"/>
      <c r="D118" s="291"/>
      <c r="E118" s="291"/>
      <c r="F118" s="333" t="e">
        <f>Hidden_Calculation!EQ108</f>
        <v>#DIV/0!</v>
      </c>
      <c r="G118" s="295" t="e">
        <f>F118/$F$126</f>
        <v>#DIV/0!</v>
      </c>
      <c r="H118" s="291"/>
      <c r="I118" s="175"/>
      <c r="J118" s="219"/>
      <c r="K118" s="26"/>
      <c r="L118" s="26"/>
      <c r="M118" s="26"/>
      <c r="N118" s="26"/>
    </row>
    <row r="119" spans="2:14" ht="15" customHeight="1">
      <c r="B119" s="291" t="str">
        <f t="shared" si="6"/>
        <v>#2: LCA: Packaging</v>
      </c>
      <c r="C119" s="291"/>
      <c r="D119" s="291"/>
      <c r="E119" s="291"/>
      <c r="F119" s="333" t="e">
        <f>Hidden_Calculation!EQ109</f>
        <v>#DIV/0!</v>
      </c>
      <c r="G119" s="295" t="e">
        <f t="shared" ref="G119:G125" si="7">F119/$F$126</f>
        <v>#DIV/0!</v>
      </c>
      <c r="H119" s="291"/>
      <c r="I119" s="175"/>
      <c r="J119" s="219"/>
      <c r="K119" s="26"/>
      <c r="L119" s="26"/>
      <c r="M119" s="26"/>
      <c r="N119" s="26"/>
    </row>
    <row r="120" spans="2:14" ht="15" customHeight="1">
      <c r="B120" s="291" t="str">
        <f t="shared" si="6"/>
        <v>#3: LCA: Transport</v>
      </c>
      <c r="C120" s="291"/>
      <c r="D120" s="291"/>
      <c r="E120" s="291"/>
      <c r="F120" s="333" t="e">
        <f>Hidden_Calculation!EQ110</f>
        <v>#DIV/0!</v>
      </c>
      <c r="G120" s="295" t="e">
        <f t="shared" si="7"/>
        <v>#DIV/0!</v>
      </c>
      <c r="H120" s="291"/>
      <c r="I120" s="175"/>
      <c r="J120" s="219"/>
      <c r="K120" s="26"/>
      <c r="L120" s="26"/>
      <c r="M120" s="26"/>
      <c r="N120" s="26"/>
    </row>
    <row r="121" spans="2:14" ht="15" customHeight="1">
      <c r="B121" s="291" t="str">
        <f t="shared" si="6"/>
        <v>#4: LCA: Water use</v>
      </c>
      <c r="C121" s="291"/>
      <c r="D121" s="291"/>
      <c r="E121" s="291"/>
      <c r="F121" s="333" t="e">
        <f>Hidden_Calculation!EQ111</f>
        <v>#DIV/0!</v>
      </c>
      <c r="G121" s="295" t="e">
        <f t="shared" si="7"/>
        <v>#DIV/0!</v>
      </c>
      <c r="H121" s="291"/>
      <c r="I121" s="175"/>
      <c r="J121" s="219"/>
      <c r="K121" s="26"/>
      <c r="L121" s="26"/>
      <c r="M121" s="26"/>
      <c r="N121" s="26"/>
    </row>
    <row r="122" spans="2:14" ht="15" customHeight="1">
      <c r="B122" s="291" t="str">
        <f t="shared" si="6"/>
        <v>#5: LCA: Energy use</v>
      </c>
      <c r="C122" s="291"/>
      <c r="D122" s="291"/>
      <c r="E122" s="291"/>
      <c r="F122" s="333" t="e">
        <f>Hidden_Calculation!EQ112</f>
        <v>#DIV/0!</v>
      </c>
      <c r="G122" s="295" t="e">
        <f t="shared" si="7"/>
        <v>#DIV/0!</v>
      </c>
      <c r="H122" s="291"/>
      <c r="I122" s="175"/>
      <c r="J122" s="219"/>
      <c r="K122" s="26"/>
      <c r="L122" s="26"/>
      <c r="M122" s="26"/>
      <c r="N122" s="26"/>
    </row>
    <row r="123" spans="2:14" ht="30" customHeight="1">
      <c r="B123" s="498" t="str">
        <f t="shared" si="6"/>
        <v>#6: LCA: Transport refrigeration (electricity and fuel only for refrigeration)</v>
      </c>
      <c r="C123" s="498"/>
      <c r="D123" s="498"/>
      <c r="E123" s="498"/>
      <c r="F123" s="333" t="e">
        <f>Hidden_Calculation!EQ113</f>
        <v>#DIV/0!</v>
      </c>
      <c r="G123" s="295" t="e">
        <f t="shared" si="7"/>
        <v>#DIV/0!</v>
      </c>
      <c r="H123" s="291"/>
      <c r="I123" s="175"/>
      <c r="J123" s="219"/>
      <c r="K123" s="26"/>
      <c r="L123" s="26"/>
      <c r="M123" s="26"/>
      <c r="N123" s="26"/>
    </row>
    <row r="124" spans="2:14" ht="15" customHeight="1">
      <c r="B124" s="291" t="str">
        <f t="shared" si="6"/>
        <v>#7: LCA: Refrigerant slippage</v>
      </c>
      <c r="C124" s="291"/>
      <c r="D124" s="291"/>
      <c r="E124" s="291"/>
      <c r="F124" s="333" t="e">
        <f>Hidden_Calculation!EQ114</f>
        <v>#DIV/0!</v>
      </c>
      <c r="G124" s="295" t="e">
        <f t="shared" si="7"/>
        <v>#DIV/0!</v>
      </c>
      <c r="H124" s="291"/>
      <c r="I124" s="175"/>
      <c r="J124" s="219"/>
      <c r="K124" s="26"/>
      <c r="L124" s="26"/>
      <c r="M124" s="26"/>
      <c r="N124" s="26"/>
    </row>
    <row r="125" spans="2:14" ht="15" customHeight="1">
      <c r="B125" s="291" t="str">
        <f t="shared" si="6"/>
        <v>#8: LCA: Waste</v>
      </c>
      <c r="C125" s="291"/>
      <c r="D125" s="291"/>
      <c r="E125" s="291"/>
      <c r="F125" s="333" t="e">
        <f>Hidden_Calculation!EQ115</f>
        <v>#DIV/0!</v>
      </c>
      <c r="G125" s="295" t="e">
        <f t="shared" si="7"/>
        <v>#DIV/0!</v>
      </c>
      <c r="H125" s="291"/>
      <c r="I125" s="175"/>
      <c r="J125" s="219"/>
      <c r="K125" s="26"/>
      <c r="L125" s="26"/>
      <c r="M125" s="26"/>
      <c r="N125" s="26"/>
    </row>
    <row r="126" spans="2:14" ht="15" customHeight="1">
      <c r="B126" s="292" t="str">
        <f t="shared" si="6"/>
        <v>Impact per kg of final product</v>
      </c>
      <c r="C126" s="291"/>
      <c r="D126" s="292"/>
      <c r="E126" s="291"/>
      <c r="F126" s="334" t="e">
        <f>Hidden_Calculation!EQ116</f>
        <v>#DIV/0!</v>
      </c>
      <c r="G126" s="292"/>
      <c r="H126" s="291"/>
      <c r="I126" s="175"/>
      <c r="J126" s="26"/>
      <c r="K126" s="26"/>
      <c r="L126" s="26"/>
      <c r="M126" s="26"/>
      <c r="N126" s="26"/>
    </row>
    <row r="127" spans="2:14" ht="15" customHeight="1">
      <c r="B127" s="287"/>
      <c r="C127" s="287"/>
      <c r="D127" s="286"/>
      <c r="E127" s="286"/>
      <c r="I127" s="175"/>
      <c r="J127" s="219"/>
      <c r="K127" s="26"/>
      <c r="L127" s="26"/>
      <c r="M127" s="26"/>
      <c r="N127" s="26"/>
    </row>
    <row r="128" spans="2:14" ht="15" customHeight="1">
      <c r="B128" s="502" t="str">
        <f>VLOOKUP("Results_AWARE",Hidden_Translations!$B$11:$K$1173,Hidden_Translations!$C$8,FALSE)</f>
        <v>Water use (AWARE)</v>
      </c>
      <c r="C128" s="502"/>
      <c r="D128" s="502"/>
      <c r="E128" s="502"/>
      <c r="F128" s="502"/>
      <c r="G128" s="502"/>
      <c r="H128" s="502"/>
      <c r="I128" s="175"/>
      <c r="J128" s="219"/>
      <c r="K128" s="26"/>
      <c r="L128" s="26"/>
      <c r="M128" s="26"/>
      <c r="N128" s="26"/>
    </row>
    <row r="129" spans="2:14" ht="15" customHeight="1">
      <c r="B129" s="23"/>
      <c r="F129" s="499"/>
      <c r="G129" s="499"/>
      <c r="H129" s="499"/>
      <c r="I129" s="175"/>
      <c r="J129" s="219"/>
      <c r="K129" s="26"/>
      <c r="L129" s="26"/>
      <c r="M129" s="26"/>
      <c r="N129" s="26"/>
    </row>
    <row r="130" spans="2:14" ht="90" customHeight="1">
      <c r="B130" s="500" t="str">
        <f>VLOOKUP("Results_AWARE_Text",Hidden_Translations!$B$11:$K$1173,Hidden_Translations!$C$8,FALSE)</f>
        <v xml:space="preserve">The AWARE method (Availalble WAter Remaining) is recommended by the international working group on water use assessment and footprinting (WULCA) for LCA analyses. In May 2016, the method was also endorsed by the EU Joint Research Center. AWARE represents the relative AWARE per area in a watershed after the demand of humans and aquatic ecosystems has been met. It assesses the potential of water deprivation, to either humans or ecosystems, building on the assumption that the less water remaining available per area, the more likely another user will be deprived. </v>
      </c>
      <c r="C130" s="500"/>
      <c r="D130" s="500"/>
      <c r="E130" s="500"/>
      <c r="F130" s="500"/>
      <c r="G130" s="500"/>
      <c r="H130" s="500"/>
      <c r="I130" s="175"/>
      <c r="J130" s="26"/>
      <c r="K130" s="26"/>
      <c r="L130" s="26"/>
      <c r="M130" s="26"/>
      <c r="N130" s="26"/>
    </row>
    <row r="131" spans="2:14" ht="15" customHeight="1">
      <c r="I131" s="175"/>
      <c r="J131" s="219"/>
      <c r="K131" s="26"/>
      <c r="L131" s="26"/>
      <c r="M131" s="26"/>
      <c r="N131" s="26"/>
    </row>
    <row r="132" spans="2:14" ht="15" customHeight="1">
      <c r="B132" s="300" t="str">
        <f>VLOOKUP("Results_AWARE_Stage",Hidden_Translations!$B$11:$K$1173,Hidden_Translations!$C$8,FALSE)</f>
        <v>AWARE by stage: Value per functional unit</v>
      </c>
      <c r="C132" s="300"/>
      <c r="D132" s="300"/>
      <c r="E132" s="300"/>
      <c r="F132" s="300"/>
      <c r="G132" s="300"/>
      <c r="H132" s="300"/>
      <c r="I132" s="175"/>
      <c r="J132" s="219"/>
      <c r="K132" s="26"/>
      <c r="L132" s="26"/>
      <c r="M132" s="26"/>
      <c r="N132" s="26"/>
    </row>
    <row r="133" spans="2:14" ht="15" customHeight="1">
      <c r="I133" s="175"/>
      <c r="J133" s="219"/>
      <c r="K133" s="26"/>
      <c r="L133" s="26"/>
      <c r="M133" s="26"/>
      <c r="N133" s="26"/>
    </row>
    <row r="134" spans="2:14" ht="15" customHeight="1">
      <c r="B134" s="299" t="str">
        <f>B14</f>
        <v>Please note that the impact from the raw materials is attributed to the producer.</v>
      </c>
      <c r="I134" s="175"/>
      <c r="J134" s="219"/>
      <c r="K134" s="26"/>
      <c r="L134" s="26"/>
      <c r="M134" s="26"/>
      <c r="N134" s="26"/>
    </row>
    <row r="135" spans="2:14" ht="15" customHeight="1">
      <c r="B135" s="26"/>
      <c r="C135" s="26"/>
      <c r="D135" s="26"/>
      <c r="E135" s="26"/>
      <c r="F135" s="289"/>
      <c r="I135" s="175"/>
      <c r="J135" s="219"/>
      <c r="K135" s="26"/>
      <c r="L135" s="26"/>
      <c r="M135" s="26"/>
      <c r="N135" s="26"/>
    </row>
    <row r="136" spans="2:14" ht="15" customHeight="1">
      <c r="B136" s="26"/>
      <c r="C136" s="26"/>
      <c r="D136" s="26"/>
      <c r="E136" s="26"/>
      <c r="F136" s="113" t="str">
        <f>VLOOKUP("Results_Water",Hidden_Translations!$B$11:$K$1173,Hidden_Translations!$C$8,FALSE)</f>
        <v>Water</v>
      </c>
      <c r="G136" s="293" t="str">
        <f>F136</f>
        <v>Water</v>
      </c>
      <c r="H136" s="293" t="str">
        <f>VLOOKUP("Results_Water_Cumulated",Hidden_Translations!$B$11:$K$1173,Hidden_Translations!$C$8,FALSE)</f>
        <v>Water cumulated</v>
      </c>
      <c r="I136" s="175"/>
      <c r="J136" s="219"/>
      <c r="K136" s="26"/>
      <c r="L136" s="26"/>
      <c r="M136" s="26"/>
      <c r="N136" s="26"/>
    </row>
    <row r="137" spans="2:14" ht="15" customHeight="1">
      <c r="B137" s="26"/>
      <c r="C137" s="26"/>
      <c r="D137" s="26"/>
      <c r="E137" s="26"/>
      <c r="F137" s="113" t="str">
        <f>VLOOKUP("Units_m3_kg",Hidden_Translations!$B$11:$K$1173,Hidden_Translations!$C$8,FALSE)</f>
        <v>[m³ eq./kg]</v>
      </c>
      <c r="G137" s="293" t="str">
        <f>G17</f>
        <v>[share]</v>
      </c>
      <c r="H137" s="285" t="str">
        <f>F137</f>
        <v>[m³ eq./kg]</v>
      </c>
      <c r="I137" s="175"/>
      <c r="J137" s="219"/>
      <c r="K137" s="26"/>
      <c r="L137" s="26"/>
      <c r="M137" s="26"/>
      <c r="N137" s="26"/>
    </row>
    <row r="138" spans="2:14" ht="15" customHeight="1">
      <c r="B138" s="291" t="str">
        <f>B18</f>
        <v>#2: Single drop transport (supplier to producer)</v>
      </c>
      <c r="C138" s="291"/>
      <c r="D138" s="291"/>
      <c r="E138" s="291"/>
      <c r="F138" s="333" t="e">
        <f>Hidden_Calculation!M116</f>
        <v>#DIV/0!</v>
      </c>
      <c r="G138" s="295" t="e">
        <f>F138/$F$148</f>
        <v>#DIV/0!</v>
      </c>
      <c r="H138" s="352" t="e">
        <f>F138</f>
        <v>#DIV/0!</v>
      </c>
      <c r="I138" s="175"/>
      <c r="J138" s="219"/>
      <c r="K138" s="26"/>
      <c r="L138" s="26"/>
      <c r="M138" s="26"/>
      <c r="N138" s="26"/>
    </row>
    <row r="139" spans="2:14" ht="15" customHeight="1">
      <c r="B139" s="291" t="str">
        <f t="shared" ref="B139:B147" si="8">B19</f>
        <v>#3: Producer</v>
      </c>
      <c r="C139" s="291"/>
      <c r="D139" s="291"/>
      <c r="E139" s="291"/>
      <c r="F139" s="333" t="e">
        <f>Hidden_Calculation!AA116</f>
        <v>#DIV/0!</v>
      </c>
      <c r="G139" s="295" t="e">
        <f t="shared" ref="G139:G147" si="9">F139/$F$148</f>
        <v>#DIV/0!</v>
      </c>
      <c r="H139" s="352" t="e">
        <f t="shared" ref="H139:H147" si="10">H138+F139</f>
        <v>#DIV/0!</v>
      </c>
      <c r="I139" s="175"/>
      <c r="J139" s="219"/>
      <c r="K139" s="26"/>
      <c r="L139" s="26"/>
      <c r="M139" s="26"/>
      <c r="N139" s="26"/>
    </row>
    <row r="140" spans="2:14" ht="30" customHeight="1">
      <c r="B140" s="498" t="str">
        <f t="shared" si="8"/>
        <v>#3a: Single drop transport (producer to docks/airport)</v>
      </c>
      <c r="C140" s="498"/>
      <c r="D140" s="498"/>
      <c r="E140" s="498"/>
      <c r="F140" s="333" t="e">
        <f>Hidden_Calculation!AP116</f>
        <v>#DIV/0!</v>
      </c>
      <c r="G140" s="295" t="e">
        <f t="shared" si="9"/>
        <v>#DIV/0!</v>
      </c>
      <c r="H140" s="352" t="e">
        <f t="shared" si="10"/>
        <v>#DIV/0!</v>
      </c>
      <c r="I140" s="175"/>
      <c r="J140" s="219"/>
      <c r="K140" s="26"/>
      <c r="L140" s="26"/>
      <c r="M140" s="26"/>
      <c r="N140" s="26"/>
    </row>
    <row r="141" spans="2:14" ht="15" customHeight="1">
      <c r="B141" s="291" t="str">
        <f t="shared" si="8"/>
        <v>#3b: Storage at docks/airport at origin</v>
      </c>
      <c r="C141" s="291"/>
      <c r="D141" s="291"/>
      <c r="E141" s="291"/>
      <c r="F141" s="333" t="e">
        <f>Hidden_Calculation!BC116</f>
        <v>#DIV/0!</v>
      </c>
      <c r="G141" s="295" t="e">
        <f t="shared" si="9"/>
        <v>#DIV/0!</v>
      </c>
      <c r="H141" s="352" t="e">
        <f t="shared" si="10"/>
        <v>#DIV/0!</v>
      </c>
      <c r="I141" s="175"/>
      <c r="J141" s="219"/>
      <c r="K141" s="26"/>
      <c r="L141" s="26"/>
      <c r="M141" s="26"/>
      <c r="N141" s="26"/>
    </row>
    <row r="142" spans="2:14" ht="15" customHeight="1">
      <c r="B142" s="291" t="str">
        <f t="shared" si="8"/>
        <v>#3c: Single drop transport (origin to destination)</v>
      </c>
      <c r="C142" s="291"/>
      <c r="D142" s="291"/>
      <c r="E142" s="291"/>
      <c r="F142" s="333" t="e">
        <f>Hidden_Calculation!BN116</f>
        <v>#DIV/0!</v>
      </c>
      <c r="G142" s="295" t="e">
        <f t="shared" si="9"/>
        <v>#DIV/0!</v>
      </c>
      <c r="H142" s="352" t="e">
        <f t="shared" si="10"/>
        <v>#DIV/0!</v>
      </c>
      <c r="I142" s="175"/>
      <c r="J142" s="219"/>
      <c r="K142" s="26"/>
      <c r="L142" s="26"/>
      <c r="M142" s="26"/>
      <c r="N142" s="26"/>
    </row>
    <row r="143" spans="2:14" ht="15" customHeight="1">
      <c r="B143" s="291" t="str">
        <f t="shared" si="8"/>
        <v>#3d: Storage at docks/airport at destination</v>
      </c>
      <c r="C143" s="291"/>
      <c r="D143" s="291"/>
      <c r="E143" s="291"/>
      <c r="F143" s="333" t="e">
        <f>Hidden_Calculation!CA116</f>
        <v>#DIV/0!</v>
      </c>
      <c r="G143" s="295" t="e">
        <f t="shared" si="9"/>
        <v>#DIV/0!</v>
      </c>
      <c r="H143" s="352" t="e">
        <f t="shared" si="10"/>
        <v>#DIV/0!</v>
      </c>
      <c r="I143" s="175"/>
      <c r="J143" s="219"/>
      <c r="K143" s="26"/>
      <c r="L143" s="26"/>
      <c r="M143" s="26"/>
      <c r="N143" s="26"/>
    </row>
    <row r="144" spans="2:14" ht="15" customHeight="1">
      <c r="B144" s="291" t="str">
        <f t="shared" si="8"/>
        <v>#4: Single drop transport (to distribution center)</v>
      </c>
      <c r="C144" s="291"/>
      <c r="D144" s="291"/>
      <c r="E144" s="291"/>
      <c r="F144" s="333" t="e">
        <f>Hidden_Calculation!CN116</f>
        <v>#DIV/0!</v>
      </c>
      <c r="G144" s="295" t="e">
        <f t="shared" si="9"/>
        <v>#DIV/0!</v>
      </c>
      <c r="H144" s="352" t="e">
        <f t="shared" si="10"/>
        <v>#DIV/0!</v>
      </c>
      <c r="I144" s="175"/>
      <c r="J144" s="219"/>
      <c r="K144" s="26"/>
      <c r="L144" s="26"/>
      <c r="M144" s="26"/>
      <c r="N144" s="26"/>
    </row>
    <row r="145" spans="2:14" ht="15" customHeight="1">
      <c r="B145" s="291" t="str">
        <f t="shared" si="8"/>
        <v>#5: Distribution center</v>
      </c>
      <c r="C145" s="291"/>
      <c r="D145" s="291"/>
      <c r="E145" s="291"/>
      <c r="F145" s="333" t="e">
        <f>Hidden_Calculation!DB116</f>
        <v>#DIV/0!</v>
      </c>
      <c r="G145" s="295" t="e">
        <f t="shared" si="9"/>
        <v>#DIV/0!</v>
      </c>
      <c r="H145" s="352" t="e">
        <f t="shared" si="10"/>
        <v>#DIV/0!</v>
      </c>
      <c r="I145" s="175"/>
      <c r="J145" s="219"/>
      <c r="K145" s="26"/>
      <c r="L145" s="26"/>
      <c r="M145" s="26"/>
      <c r="N145" s="26"/>
    </row>
    <row r="146" spans="2:14" ht="30" customHeight="1">
      <c r="B146" s="498" t="str">
        <f t="shared" si="8"/>
        <v>#6: Multi drop transport (distribution center to retailer)</v>
      </c>
      <c r="C146" s="498"/>
      <c r="D146" s="498"/>
      <c r="E146" s="498"/>
      <c r="F146" s="333" t="e">
        <f>Hidden_Calculation!DP116</f>
        <v>#DIV/0!</v>
      </c>
      <c r="G146" s="295" t="e">
        <f t="shared" si="9"/>
        <v>#DIV/0!</v>
      </c>
      <c r="H146" s="352" t="e">
        <f t="shared" si="10"/>
        <v>#DIV/0!</v>
      </c>
      <c r="I146" s="175"/>
      <c r="J146" s="219"/>
      <c r="K146" s="26"/>
      <c r="L146" s="26"/>
      <c r="M146" s="26"/>
      <c r="N146" s="26"/>
    </row>
    <row r="147" spans="2:14" ht="15" customHeight="1">
      <c r="B147" s="291" t="str">
        <f t="shared" si="8"/>
        <v>#7: Retailer</v>
      </c>
      <c r="C147" s="291"/>
      <c r="D147" s="291"/>
      <c r="E147" s="291"/>
      <c r="F147" s="333" t="e">
        <f>Hidden_Calculation!ED116</f>
        <v>#DIV/0!</v>
      </c>
      <c r="G147" s="295" t="e">
        <f t="shared" si="9"/>
        <v>#DIV/0!</v>
      </c>
      <c r="H147" s="352" t="e">
        <f t="shared" si="10"/>
        <v>#DIV/0!</v>
      </c>
      <c r="I147" s="175"/>
      <c r="J147" s="219"/>
      <c r="K147" s="26"/>
      <c r="L147" s="26"/>
      <c r="M147" s="26"/>
      <c r="N147" s="26"/>
    </row>
    <row r="148" spans="2:14" ht="15" customHeight="1">
      <c r="B148" s="292" t="str">
        <f>B88</f>
        <v>Impact per kg of final product</v>
      </c>
      <c r="C148" s="292"/>
      <c r="D148" s="292"/>
      <c r="E148" s="292"/>
      <c r="F148" s="334" t="e">
        <f>Hidden_Calculation!ER116</f>
        <v>#DIV/0!</v>
      </c>
      <c r="G148" s="292"/>
      <c r="H148" s="292"/>
      <c r="I148" s="175"/>
      <c r="J148" s="219"/>
      <c r="K148" s="26"/>
      <c r="L148" s="26"/>
      <c r="M148" s="26"/>
      <c r="N148" s="26"/>
    </row>
    <row r="149" spans="2:14" ht="15" customHeight="1">
      <c r="B149" s="287"/>
      <c r="C149" s="287"/>
      <c r="D149" s="286"/>
      <c r="E149" s="286"/>
      <c r="I149" s="175"/>
      <c r="J149" s="219"/>
      <c r="K149" s="26"/>
      <c r="L149" s="26"/>
      <c r="M149" s="26"/>
      <c r="N149" s="26"/>
    </row>
    <row r="150" spans="2:14" ht="15" customHeight="1">
      <c r="B150" s="294"/>
      <c r="C150" s="287"/>
      <c r="D150" s="286"/>
      <c r="E150" s="286"/>
      <c r="I150" s="175"/>
      <c r="J150" s="219"/>
      <c r="K150" s="26"/>
      <c r="L150" s="26"/>
      <c r="M150" s="26"/>
      <c r="N150" s="26"/>
    </row>
    <row r="151" spans="2:14" ht="15" customHeight="1">
      <c r="B151" s="287"/>
      <c r="C151" s="287"/>
      <c r="D151" s="286"/>
      <c r="E151" s="286"/>
      <c r="I151" s="175"/>
      <c r="J151" s="219"/>
      <c r="K151" s="26"/>
      <c r="L151" s="26"/>
      <c r="M151" s="26"/>
      <c r="N151" s="26"/>
    </row>
    <row r="152" spans="2:14" ht="15" customHeight="1">
      <c r="B152" s="287"/>
      <c r="C152" s="287"/>
      <c r="D152" s="286"/>
      <c r="E152" s="286"/>
      <c r="I152" s="175"/>
      <c r="J152" s="219"/>
      <c r="K152" s="26"/>
      <c r="L152" s="26"/>
      <c r="M152" s="26"/>
      <c r="N152" s="26"/>
    </row>
    <row r="153" spans="2:14" ht="15" customHeight="1">
      <c r="B153" s="287"/>
      <c r="C153" s="287"/>
      <c r="D153" s="286"/>
      <c r="E153" s="286"/>
      <c r="I153" s="175"/>
      <c r="J153" s="219"/>
      <c r="K153" s="26"/>
      <c r="L153" s="26"/>
      <c r="M153" s="26"/>
      <c r="N153" s="26"/>
    </row>
    <row r="154" spans="2:14" ht="15" customHeight="1">
      <c r="B154" s="287"/>
      <c r="C154" s="287"/>
      <c r="D154" s="286"/>
      <c r="E154" s="286"/>
      <c r="I154" s="175"/>
      <c r="J154" s="219"/>
      <c r="K154" s="26"/>
      <c r="L154" s="26"/>
      <c r="M154" s="26"/>
      <c r="N154" s="26"/>
    </row>
    <row r="155" spans="2:14" ht="15" customHeight="1">
      <c r="B155" s="287"/>
      <c r="C155" s="287"/>
      <c r="D155" s="286"/>
      <c r="E155" s="286"/>
      <c r="I155" s="175"/>
      <c r="J155" s="219"/>
      <c r="K155" s="26"/>
      <c r="L155" s="26"/>
      <c r="M155" s="26"/>
      <c r="N155" s="26"/>
    </row>
    <row r="156" spans="2:14" ht="15" customHeight="1">
      <c r="B156" s="287"/>
      <c r="C156" s="287"/>
      <c r="D156" s="286"/>
      <c r="E156" s="286"/>
      <c r="I156" s="175"/>
      <c r="J156" s="219"/>
      <c r="K156" s="26"/>
      <c r="L156" s="26"/>
      <c r="M156" s="26"/>
      <c r="N156" s="26"/>
    </row>
    <row r="157" spans="2:14" ht="15" customHeight="1">
      <c r="B157" s="287"/>
      <c r="C157" s="287"/>
      <c r="D157" s="286"/>
      <c r="E157" s="286"/>
      <c r="I157" s="175"/>
      <c r="J157" s="219"/>
      <c r="K157" s="26"/>
      <c r="L157" s="26"/>
      <c r="M157" s="26"/>
      <c r="N157" s="26"/>
    </row>
    <row r="158" spans="2:14" ht="15" customHeight="1">
      <c r="B158" s="287"/>
      <c r="C158" s="287"/>
      <c r="D158" s="286"/>
      <c r="E158" s="286"/>
      <c r="I158" s="175"/>
      <c r="J158" s="219"/>
      <c r="K158" s="26"/>
      <c r="L158" s="26"/>
      <c r="M158" s="26"/>
      <c r="N158" s="26"/>
    </row>
    <row r="159" spans="2:14" ht="15" customHeight="1">
      <c r="B159" s="287"/>
      <c r="C159" s="287"/>
      <c r="D159" s="286"/>
      <c r="E159" s="286"/>
      <c r="I159" s="175"/>
      <c r="J159" s="219"/>
      <c r="K159" s="26"/>
      <c r="L159" s="26"/>
      <c r="M159" s="26"/>
      <c r="N159" s="26"/>
    </row>
    <row r="160" spans="2:14" ht="15" customHeight="1">
      <c r="B160" s="287"/>
      <c r="C160" s="287"/>
      <c r="D160" s="286"/>
      <c r="E160" s="286"/>
      <c r="I160" s="175"/>
      <c r="J160" s="219"/>
      <c r="K160" s="26"/>
      <c r="L160" s="26"/>
      <c r="M160" s="26"/>
      <c r="N160" s="26"/>
    </row>
    <row r="161" spans="2:14" ht="15" customHeight="1">
      <c r="B161" s="287"/>
      <c r="C161" s="287"/>
      <c r="D161" s="286"/>
      <c r="E161" s="286"/>
      <c r="I161" s="175"/>
      <c r="J161" s="219"/>
      <c r="K161" s="26"/>
      <c r="L161" s="26"/>
      <c r="M161" s="26"/>
      <c r="N161" s="26"/>
    </row>
    <row r="162" spans="2:14" ht="15" customHeight="1">
      <c r="B162" s="287"/>
      <c r="C162" s="287"/>
      <c r="D162" s="286"/>
      <c r="E162" s="286"/>
      <c r="I162" s="175"/>
      <c r="J162" s="219"/>
      <c r="K162" s="26"/>
      <c r="L162" s="26"/>
      <c r="M162" s="26"/>
      <c r="N162" s="26"/>
    </row>
    <row r="163" spans="2:14" ht="15" customHeight="1">
      <c r="B163" s="287"/>
      <c r="C163" s="287"/>
      <c r="D163" s="286"/>
      <c r="E163" s="286"/>
      <c r="I163" s="175"/>
      <c r="J163" s="219"/>
      <c r="K163" s="26"/>
      <c r="L163" s="26"/>
      <c r="M163" s="26"/>
      <c r="N163" s="26"/>
    </row>
    <row r="164" spans="2:14" ht="15" customHeight="1">
      <c r="B164" s="287"/>
      <c r="C164" s="287"/>
      <c r="D164" s="286"/>
      <c r="E164" s="286"/>
      <c r="I164" s="175"/>
      <c r="J164" s="219"/>
      <c r="K164" s="26"/>
      <c r="L164" s="26"/>
      <c r="M164" s="26"/>
      <c r="N164" s="26"/>
    </row>
    <row r="165" spans="2:14" ht="15" customHeight="1">
      <c r="B165" s="287"/>
      <c r="C165" s="287"/>
      <c r="D165" s="286"/>
      <c r="E165" s="286"/>
      <c r="I165" s="175"/>
      <c r="J165" s="219"/>
      <c r="K165" s="26"/>
      <c r="L165" s="26"/>
      <c r="M165" s="26"/>
      <c r="N165" s="26"/>
    </row>
    <row r="166" spans="2:14" ht="15" customHeight="1">
      <c r="B166" s="287"/>
      <c r="C166" s="287"/>
      <c r="D166" s="286"/>
      <c r="E166" s="286"/>
      <c r="I166" s="175"/>
      <c r="J166" s="219"/>
      <c r="K166" s="26"/>
      <c r="L166" s="26"/>
      <c r="M166" s="26"/>
      <c r="N166" s="26"/>
    </row>
    <row r="167" spans="2:14" ht="15" customHeight="1">
      <c r="B167" s="287"/>
      <c r="C167" s="287"/>
      <c r="D167" s="286"/>
      <c r="E167" s="286"/>
      <c r="I167" s="175"/>
      <c r="J167" s="219"/>
      <c r="K167" s="26"/>
      <c r="L167" s="26"/>
      <c r="M167" s="26"/>
      <c r="N167" s="26"/>
    </row>
    <row r="168" spans="2:14" ht="15" customHeight="1">
      <c r="B168" s="287"/>
      <c r="C168" s="287"/>
      <c r="D168" s="286"/>
      <c r="E168" s="286"/>
      <c r="I168" s="175"/>
      <c r="J168" s="219"/>
      <c r="K168" s="26"/>
      <c r="L168" s="26"/>
      <c r="M168" s="26"/>
      <c r="N168" s="26"/>
    </row>
    <row r="169" spans="2:14">
      <c r="B169" s="287"/>
      <c r="C169" s="287"/>
      <c r="D169" s="286"/>
      <c r="E169" s="286"/>
      <c r="I169" s="175"/>
      <c r="J169" s="219"/>
      <c r="K169" s="26"/>
      <c r="L169" s="26"/>
      <c r="M169" s="26"/>
      <c r="N169" s="26"/>
    </row>
    <row r="170" spans="2:14">
      <c r="B170" s="287"/>
      <c r="C170" s="287"/>
      <c r="D170" s="286"/>
      <c r="E170" s="286"/>
      <c r="I170" s="175"/>
      <c r="J170" s="219"/>
      <c r="K170" s="26"/>
      <c r="L170" s="26"/>
      <c r="M170" s="26"/>
      <c r="N170" s="26"/>
    </row>
    <row r="171" spans="2:14">
      <c r="B171" s="287"/>
      <c r="C171" s="287"/>
      <c r="D171" s="286"/>
      <c r="E171" s="286"/>
      <c r="I171" s="175"/>
      <c r="J171" s="219"/>
      <c r="K171" s="26"/>
      <c r="L171" s="26"/>
      <c r="M171" s="26"/>
      <c r="N171" s="26"/>
    </row>
    <row r="172" spans="2:14">
      <c r="B172" s="300" t="str">
        <f>VLOOKUP("Results_AWARE_Type",Hidden_Translations!$B$11:$K$1173,Hidden_Translations!$C$8,FALSE)</f>
        <v>AWARE by type of process: Values per functional unit</v>
      </c>
      <c r="C172" s="300"/>
      <c r="D172" s="300"/>
      <c r="E172" s="300"/>
      <c r="F172" s="300"/>
      <c r="G172" s="300"/>
      <c r="H172" s="300"/>
      <c r="I172" s="41"/>
      <c r="J172" s="28"/>
      <c r="K172" s="26"/>
      <c r="L172" s="26"/>
      <c r="M172" s="26"/>
      <c r="N172" s="26"/>
    </row>
    <row r="173" spans="2:14">
      <c r="B173" s="26"/>
      <c r="C173" s="26"/>
      <c r="D173" s="26"/>
      <c r="E173" s="26"/>
      <c r="F173" s="289"/>
      <c r="I173" s="41"/>
      <c r="J173" s="28"/>
      <c r="K173" s="26"/>
      <c r="L173" s="26"/>
      <c r="M173" s="26"/>
      <c r="N173" s="26"/>
    </row>
    <row r="174" spans="2:14">
      <c r="B174" s="26"/>
      <c r="C174" s="26"/>
      <c r="D174" s="26"/>
      <c r="E174" s="26"/>
      <c r="F174" s="113" t="str">
        <f>F136</f>
        <v>Water</v>
      </c>
      <c r="H174" s="175"/>
      <c r="I174" s="41"/>
      <c r="J174" s="28"/>
      <c r="K174" s="26"/>
      <c r="L174" s="26"/>
      <c r="M174" s="26"/>
      <c r="N174" s="26"/>
    </row>
    <row r="175" spans="2:14">
      <c r="B175" s="26"/>
      <c r="C175" s="26"/>
      <c r="D175" s="26"/>
      <c r="E175" s="26"/>
      <c r="F175" s="113" t="str">
        <f>F137</f>
        <v>[m³ eq./kg]</v>
      </c>
      <c r="H175" s="175"/>
      <c r="I175" s="41"/>
      <c r="J175" s="28"/>
      <c r="K175" s="26"/>
      <c r="L175" s="26"/>
      <c r="M175" s="26"/>
      <c r="N175" s="26"/>
    </row>
    <row r="176" spans="2:14">
      <c r="B176" s="291" t="str">
        <f t="shared" ref="B176:B184" si="11">B118</f>
        <v>#1: LCA: Processing</v>
      </c>
      <c r="C176" s="291"/>
      <c r="D176" s="291"/>
      <c r="E176" s="291"/>
      <c r="F176" s="333" t="e">
        <f>Hidden_Calculation!ER108</f>
        <v>#DIV/0!</v>
      </c>
      <c r="G176" s="295" t="e">
        <f>F176/$F$126</f>
        <v>#DIV/0!</v>
      </c>
      <c r="H176" s="291"/>
      <c r="I176" s="41"/>
      <c r="J176" s="28"/>
      <c r="K176" s="26"/>
      <c r="L176" s="26"/>
      <c r="M176" s="26"/>
      <c r="N176" s="26"/>
    </row>
    <row r="177" spans="2:14">
      <c r="B177" s="291" t="str">
        <f t="shared" si="11"/>
        <v>#2: LCA: Packaging</v>
      </c>
      <c r="C177" s="291"/>
      <c r="D177" s="291"/>
      <c r="E177" s="291"/>
      <c r="F177" s="333" t="e">
        <f>Hidden_Calculation!ER109</f>
        <v>#DIV/0!</v>
      </c>
      <c r="G177" s="295" t="e">
        <f t="shared" ref="G177:G183" si="12">F177/$F$126</f>
        <v>#DIV/0!</v>
      </c>
      <c r="H177" s="291"/>
      <c r="I177" s="41"/>
      <c r="J177" s="28"/>
      <c r="N177" s="26"/>
    </row>
    <row r="178" spans="2:14">
      <c r="B178" s="291" t="str">
        <f t="shared" si="11"/>
        <v>#3: LCA: Transport</v>
      </c>
      <c r="C178" s="291"/>
      <c r="D178" s="291"/>
      <c r="E178" s="291"/>
      <c r="F178" s="333" t="e">
        <f>Hidden_Calculation!ER110</f>
        <v>#DIV/0!</v>
      </c>
      <c r="G178" s="295" t="e">
        <f t="shared" si="12"/>
        <v>#DIV/0!</v>
      </c>
      <c r="H178" s="291"/>
      <c r="I178" s="41"/>
      <c r="J178" s="28"/>
      <c r="N178" s="26"/>
    </row>
    <row r="179" spans="2:14">
      <c r="B179" s="291" t="str">
        <f t="shared" si="11"/>
        <v>#4: LCA: Water use</v>
      </c>
      <c r="C179" s="291"/>
      <c r="D179" s="291"/>
      <c r="E179" s="291"/>
      <c r="F179" s="333" t="e">
        <f>Hidden_Calculation!ER111</f>
        <v>#DIV/0!</v>
      </c>
      <c r="G179" s="295" t="e">
        <f t="shared" si="12"/>
        <v>#DIV/0!</v>
      </c>
      <c r="H179" s="291"/>
      <c r="I179" s="41"/>
      <c r="J179" s="28"/>
      <c r="N179" s="26"/>
    </row>
    <row r="180" spans="2:14">
      <c r="B180" s="291" t="str">
        <f t="shared" si="11"/>
        <v>#5: LCA: Energy use</v>
      </c>
      <c r="C180" s="291"/>
      <c r="D180" s="291"/>
      <c r="E180" s="291"/>
      <c r="F180" s="333" t="e">
        <f>Hidden_Calculation!ER112</f>
        <v>#DIV/0!</v>
      </c>
      <c r="G180" s="295" t="e">
        <f t="shared" si="12"/>
        <v>#DIV/0!</v>
      </c>
      <c r="H180" s="291"/>
      <c r="I180" s="41"/>
      <c r="J180" s="28"/>
      <c r="N180" s="26"/>
    </row>
    <row r="181" spans="2:14" ht="30" customHeight="1">
      <c r="B181" s="498" t="str">
        <f t="shared" si="11"/>
        <v>#6: LCA: Transport refrigeration (electricity and fuel only for refrigeration)</v>
      </c>
      <c r="C181" s="498"/>
      <c r="D181" s="498"/>
      <c r="E181" s="498"/>
      <c r="F181" s="333" t="e">
        <f>Hidden_Calculation!ER113</f>
        <v>#DIV/0!</v>
      </c>
      <c r="G181" s="295" t="e">
        <f t="shared" si="12"/>
        <v>#DIV/0!</v>
      </c>
      <c r="H181" s="291"/>
      <c r="I181" s="41"/>
      <c r="J181" s="28"/>
      <c r="N181" s="26"/>
    </row>
    <row r="182" spans="2:14">
      <c r="B182" s="291" t="str">
        <f t="shared" si="11"/>
        <v>#7: LCA: Refrigerant slippage</v>
      </c>
      <c r="C182" s="291"/>
      <c r="D182" s="291"/>
      <c r="E182" s="291"/>
      <c r="F182" s="333" t="e">
        <f>Hidden_Calculation!ER114</f>
        <v>#DIV/0!</v>
      </c>
      <c r="G182" s="295" t="e">
        <f t="shared" si="12"/>
        <v>#DIV/0!</v>
      </c>
      <c r="H182" s="291"/>
      <c r="I182" s="41"/>
      <c r="J182" s="28"/>
      <c r="N182" s="26"/>
    </row>
    <row r="183" spans="2:14">
      <c r="B183" s="291" t="str">
        <f t="shared" si="11"/>
        <v>#8: LCA: Waste</v>
      </c>
      <c r="C183" s="291"/>
      <c r="D183" s="291"/>
      <c r="E183" s="291"/>
      <c r="F183" s="333" t="e">
        <f>Hidden_Calculation!ER115</f>
        <v>#DIV/0!</v>
      </c>
      <c r="G183" s="295" t="e">
        <f t="shared" si="12"/>
        <v>#DIV/0!</v>
      </c>
      <c r="H183" s="291"/>
      <c r="I183" s="41"/>
      <c r="J183" s="28"/>
      <c r="N183" s="26"/>
    </row>
    <row r="184" spans="2:14">
      <c r="B184" s="292" t="str">
        <f t="shared" si="11"/>
        <v>Impact per kg of final product</v>
      </c>
      <c r="C184" s="291"/>
      <c r="D184" s="292"/>
      <c r="E184" s="291"/>
      <c r="F184" s="334" t="e">
        <f>Hidden_Calculation!ER116</f>
        <v>#DIV/0!</v>
      </c>
      <c r="G184" s="292"/>
      <c r="H184" s="291"/>
      <c r="I184" s="41"/>
      <c r="J184" s="28"/>
      <c r="N184" s="26"/>
    </row>
    <row r="185" spans="2:14">
      <c r="B185" s="26"/>
      <c r="C185" s="26"/>
      <c r="D185" s="26"/>
      <c r="E185" s="26"/>
      <c r="F185" s="26"/>
      <c r="G185" s="26"/>
      <c r="H185" s="26"/>
      <c r="I185" s="41"/>
      <c r="J185" s="28"/>
      <c r="N185" s="26"/>
    </row>
    <row r="186" spans="2:14">
      <c r="B186" s="26"/>
      <c r="C186" s="26"/>
      <c r="D186" s="26"/>
      <c r="E186" s="26"/>
      <c r="F186" s="26"/>
      <c r="G186" s="26"/>
      <c r="H186" s="26"/>
      <c r="I186" s="41"/>
      <c r="J186" s="28"/>
      <c r="N186" s="26"/>
    </row>
    <row r="187" spans="2:14">
      <c r="B187" s="26"/>
      <c r="C187" s="26"/>
      <c r="D187" s="26"/>
      <c r="E187" s="26"/>
      <c r="F187" s="26"/>
      <c r="G187" s="26"/>
      <c r="H187" s="26"/>
      <c r="I187" s="41"/>
      <c r="J187" s="28"/>
      <c r="N187" s="26"/>
    </row>
    <row r="188" spans="2:14">
      <c r="B188" s="26"/>
      <c r="C188" s="26"/>
      <c r="D188" s="26"/>
      <c r="E188" s="26"/>
      <c r="F188" s="26"/>
      <c r="G188" s="26"/>
      <c r="H188" s="26"/>
      <c r="I188" s="41"/>
      <c r="J188" s="28"/>
      <c r="N188" s="26"/>
    </row>
    <row r="189" spans="2:14">
      <c r="B189" s="26"/>
      <c r="C189" s="26"/>
      <c r="D189" s="26"/>
      <c r="E189" s="26"/>
      <c r="F189" s="26"/>
      <c r="G189" s="26"/>
      <c r="H189" s="26"/>
      <c r="I189" s="41"/>
      <c r="J189" s="28"/>
      <c r="N189" s="26"/>
    </row>
    <row r="190" spans="2:14">
      <c r="B190" s="26"/>
      <c r="C190" s="26"/>
      <c r="D190" s="26"/>
      <c r="E190" s="26"/>
      <c r="F190" s="26"/>
      <c r="G190" s="26"/>
      <c r="H190" s="26"/>
      <c r="I190" s="41"/>
      <c r="J190" s="28"/>
      <c r="N190" s="26"/>
    </row>
    <row r="191" spans="2:14">
      <c r="B191" s="26"/>
      <c r="C191" s="26"/>
      <c r="D191" s="26"/>
      <c r="E191" s="26"/>
      <c r="F191" s="26"/>
      <c r="G191" s="26"/>
      <c r="H191" s="26"/>
      <c r="I191" s="41"/>
      <c r="J191" s="28"/>
      <c r="N191" s="26"/>
    </row>
    <row r="192" spans="2:14">
      <c r="B192" s="26"/>
      <c r="C192" s="26"/>
      <c r="D192" s="26"/>
      <c r="E192" s="26"/>
      <c r="F192" s="26"/>
      <c r="G192" s="26"/>
      <c r="H192" s="26"/>
      <c r="I192" s="41"/>
      <c r="J192" s="28"/>
      <c r="N192" s="26"/>
    </row>
    <row r="193" spans="2:14">
      <c r="B193" s="26"/>
      <c r="C193" s="26"/>
      <c r="D193" s="26"/>
      <c r="E193" s="26"/>
      <c r="F193" s="26"/>
      <c r="G193" s="26"/>
      <c r="H193" s="26"/>
      <c r="I193" s="41"/>
      <c r="J193" s="28"/>
      <c r="N193" s="26"/>
    </row>
    <row r="194" spans="2:14">
      <c r="B194" s="26"/>
      <c r="C194" s="26"/>
      <c r="D194" s="26"/>
      <c r="E194" s="26"/>
      <c r="F194" s="26"/>
      <c r="G194" s="26"/>
      <c r="H194" s="26"/>
      <c r="I194" s="41"/>
      <c r="J194" s="28"/>
      <c r="N194" s="26"/>
    </row>
    <row r="195" spans="2:14">
      <c r="B195" s="26"/>
      <c r="C195" s="26"/>
      <c r="D195" s="26"/>
      <c r="E195" s="26"/>
      <c r="F195" s="26"/>
      <c r="G195" s="26"/>
      <c r="H195" s="26"/>
      <c r="I195" s="41"/>
      <c r="J195" s="28"/>
      <c r="N195" s="26"/>
    </row>
    <row r="196" spans="2:14">
      <c r="B196" s="26"/>
      <c r="C196" s="26"/>
      <c r="D196" s="26"/>
      <c r="E196" s="26"/>
      <c r="F196" s="26"/>
      <c r="G196" s="26"/>
      <c r="H196" s="26"/>
      <c r="I196" s="41"/>
      <c r="J196" s="28"/>
      <c r="N196" s="26"/>
    </row>
    <row r="197" spans="2:14">
      <c r="B197" s="26"/>
      <c r="C197" s="26"/>
      <c r="D197" s="26"/>
      <c r="E197" s="26"/>
      <c r="F197" s="26"/>
      <c r="G197" s="26"/>
      <c r="H197" s="26"/>
      <c r="I197" s="41"/>
      <c r="J197" s="28"/>
      <c r="N197" s="26"/>
    </row>
    <row r="198" spans="2:14">
      <c r="B198" s="26"/>
      <c r="C198" s="26"/>
      <c r="D198" s="26"/>
      <c r="E198" s="26"/>
      <c r="F198" s="26"/>
      <c r="G198" s="26"/>
      <c r="H198" s="26"/>
      <c r="I198" s="41"/>
      <c r="J198" s="28"/>
      <c r="N198" s="26"/>
    </row>
    <row r="199" spans="2:14">
      <c r="B199" s="26"/>
      <c r="C199" s="26"/>
      <c r="D199" s="26"/>
      <c r="E199" s="26"/>
      <c r="F199" s="26"/>
      <c r="G199" s="26"/>
      <c r="H199" s="26"/>
      <c r="I199" s="41"/>
      <c r="J199" s="28"/>
      <c r="N199" s="26"/>
    </row>
    <row r="200" spans="2:14">
      <c r="B200" s="26"/>
      <c r="C200" s="26"/>
      <c r="D200" s="26"/>
      <c r="E200" s="26"/>
      <c r="F200" s="26"/>
      <c r="G200" s="26"/>
      <c r="H200" s="26"/>
      <c r="I200" s="41"/>
      <c r="J200" s="28"/>
      <c r="N200" s="26"/>
    </row>
    <row r="201" spans="2:14">
      <c r="B201" s="26"/>
      <c r="C201" s="26"/>
      <c r="D201" s="26"/>
      <c r="E201" s="26"/>
      <c r="F201" s="26"/>
      <c r="G201" s="26"/>
      <c r="H201" s="26"/>
      <c r="I201" s="41"/>
      <c r="J201" s="28"/>
      <c r="N201" s="26"/>
    </row>
    <row r="202" spans="2:14">
      <c r="B202" s="26"/>
      <c r="C202" s="26"/>
      <c r="D202" s="26"/>
      <c r="E202" s="26"/>
      <c r="F202" s="26"/>
      <c r="G202" s="26"/>
      <c r="H202" s="26"/>
      <c r="I202" s="41"/>
      <c r="J202" s="28"/>
      <c r="N202" s="26"/>
    </row>
    <row r="203" spans="2:14">
      <c r="B203" s="26"/>
      <c r="C203" s="26"/>
      <c r="D203" s="26"/>
      <c r="E203" s="26"/>
      <c r="F203" s="26"/>
      <c r="G203" s="26"/>
      <c r="H203" s="26"/>
      <c r="I203" s="41"/>
      <c r="J203" s="28"/>
      <c r="N203" s="26"/>
    </row>
    <row r="204" spans="2:14">
      <c r="B204" s="26"/>
      <c r="C204" s="26"/>
      <c r="D204" s="26"/>
      <c r="E204" s="26"/>
      <c r="F204" s="26"/>
      <c r="G204" s="26"/>
      <c r="H204" s="26"/>
      <c r="I204" s="41"/>
      <c r="J204" s="28"/>
      <c r="N204" s="26"/>
    </row>
    <row r="205" spans="2:14">
      <c r="B205" s="26"/>
      <c r="C205" s="26"/>
      <c r="D205" s="26"/>
      <c r="E205" s="26"/>
      <c r="F205" s="26"/>
      <c r="G205" s="26"/>
      <c r="H205" s="26"/>
      <c r="I205" s="41"/>
      <c r="J205" s="28"/>
      <c r="N205" s="26"/>
    </row>
    <row r="206" spans="2:14">
      <c r="B206" s="26"/>
      <c r="C206" s="26"/>
      <c r="D206" s="26"/>
      <c r="E206" s="26"/>
      <c r="F206" s="26"/>
      <c r="G206" s="26"/>
      <c r="H206" s="26"/>
      <c r="I206" s="41"/>
      <c r="J206" s="28"/>
      <c r="N206" s="26"/>
    </row>
    <row r="207" spans="2:14">
      <c r="B207" s="26"/>
      <c r="C207" s="26"/>
      <c r="D207" s="26"/>
      <c r="E207" s="26"/>
      <c r="F207" s="26"/>
      <c r="G207" s="26"/>
      <c r="H207" s="26"/>
      <c r="I207" s="41"/>
      <c r="J207" s="28"/>
      <c r="N207" s="26"/>
    </row>
    <row r="208" spans="2:14">
      <c r="B208" s="26"/>
      <c r="C208" s="26"/>
      <c r="D208" s="26"/>
      <c r="E208" s="26"/>
      <c r="F208" s="26"/>
      <c r="G208" s="26"/>
      <c r="H208" s="26"/>
      <c r="I208" s="41"/>
      <c r="J208" s="28"/>
      <c r="N208" s="26"/>
    </row>
    <row r="209" spans="2:14">
      <c r="B209" s="26"/>
      <c r="C209" s="26"/>
      <c r="D209" s="26"/>
      <c r="E209" s="26"/>
      <c r="F209" s="26"/>
      <c r="G209" s="26"/>
      <c r="H209" s="26"/>
      <c r="I209" s="41"/>
      <c r="J209" s="28"/>
      <c r="N209" s="26"/>
    </row>
    <row r="210" spans="2:14">
      <c r="B210" s="26"/>
      <c r="C210" s="26"/>
      <c r="D210" s="26"/>
      <c r="E210" s="26"/>
      <c r="F210" s="26"/>
      <c r="G210" s="26"/>
      <c r="H210" s="26"/>
      <c r="I210" s="41"/>
      <c r="J210" s="28"/>
      <c r="N210" s="26"/>
    </row>
    <row r="211" spans="2:14">
      <c r="B211" s="26"/>
      <c r="C211" s="26"/>
      <c r="D211" s="26"/>
      <c r="E211" s="26"/>
      <c r="F211" s="26"/>
      <c r="G211" s="26"/>
      <c r="H211" s="26"/>
      <c r="I211" s="41"/>
      <c r="J211" s="28"/>
      <c r="N211" s="26"/>
    </row>
    <row r="212" spans="2:14">
      <c r="B212" s="26"/>
      <c r="C212" s="26"/>
      <c r="D212" s="26"/>
      <c r="E212" s="26"/>
      <c r="F212" s="26"/>
      <c r="G212" s="26"/>
      <c r="H212" s="26"/>
      <c r="I212" s="41"/>
      <c r="J212" s="28"/>
      <c r="N212" s="26"/>
    </row>
    <row r="213" spans="2:14">
      <c r="B213" s="26"/>
      <c r="C213" s="26"/>
      <c r="D213" s="26"/>
      <c r="E213" s="26"/>
      <c r="F213" s="26"/>
      <c r="G213" s="26"/>
      <c r="H213" s="26"/>
      <c r="I213" s="41"/>
      <c r="J213" s="28"/>
      <c r="N213" s="26"/>
    </row>
    <row r="214" spans="2:14">
      <c r="B214" s="26"/>
      <c r="C214" s="26"/>
      <c r="D214" s="26"/>
      <c r="E214" s="26"/>
      <c r="F214" s="26"/>
      <c r="G214" s="26"/>
      <c r="H214" s="26"/>
      <c r="I214" s="41"/>
      <c r="J214" s="28"/>
      <c r="N214" s="26"/>
    </row>
    <row r="215" spans="2:14">
      <c r="B215" s="26"/>
      <c r="C215" s="26"/>
      <c r="D215" s="26"/>
      <c r="E215" s="26"/>
      <c r="F215" s="26"/>
      <c r="G215" s="26"/>
      <c r="H215" s="26"/>
      <c r="I215" s="41"/>
      <c r="J215" s="28"/>
      <c r="N215" s="26"/>
    </row>
    <row r="216" spans="2:14">
      <c r="B216" s="26"/>
      <c r="C216" s="26"/>
      <c r="D216" s="26"/>
      <c r="E216" s="26"/>
      <c r="F216" s="26"/>
      <c r="G216" s="26"/>
      <c r="H216" s="26"/>
      <c r="I216" s="41"/>
      <c r="J216" s="28"/>
      <c r="N216" s="26"/>
    </row>
    <row r="217" spans="2:14">
      <c r="B217" s="26"/>
      <c r="C217" s="26"/>
      <c r="D217" s="26"/>
      <c r="E217" s="26"/>
      <c r="F217" s="26"/>
      <c r="G217" s="26"/>
      <c r="H217" s="26"/>
      <c r="I217" s="41"/>
      <c r="J217" s="28"/>
      <c r="N217" s="26"/>
    </row>
    <row r="218" spans="2:14">
      <c r="B218" s="26"/>
      <c r="C218" s="26"/>
      <c r="D218" s="26"/>
      <c r="E218" s="26"/>
      <c r="F218" s="26"/>
      <c r="G218" s="26"/>
      <c r="H218" s="26"/>
      <c r="I218" s="41"/>
      <c r="J218" s="28"/>
      <c r="N218" s="26"/>
    </row>
    <row r="219" spans="2:14">
      <c r="B219" s="26"/>
      <c r="C219" s="26"/>
      <c r="D219" s="26"/>
      <c r="E219" s="26"/>
      <c r="F219" s="26"/>
      <c r="G219" s="26"/>
      <c r="H219" s="26"/>
      <c r="I219" s="41"/>
      <c r="J219" s="28"/>
      <c r="N219" s="26"/>
    </row>
    <row r="220" spans="2:14">
      <c r="B220" s="26"/>
      <c r="C220" s="26"/>
      <c r="D220" s="26"/>
      <c r="E220" s="26"/>
      <c r="F220" s="26"/>
      <c r="G220" s="26"/>
      <c r="H220" s="26"/>
      <c r="I220" s="41"/>
      <c r="J220" s="28"/>
      <c r="N220" s="26"/>
    </row>
    <row r="221" spans="2:14">
      <c r="B221" s="26"/>
      <c r="C221" s="26"/>
      <c r="D221" s="26"/>
      <c r="E221" s="26"/>
      <c r="F221" s="26"/>
      <c r="G221" s="26"/>
      <c r="H221" s="26"/>
      <c r="I221" s="41"/>
      <c r="J221" s="28"/>
      <c r="N221" s="26"/>
    </row>
    <row r="222" spans="2:14">
      <c r="B222" s="26"/>
      <c r="C222" s="26"/>
      <c r="D222" s="26"/>
      <c r="E222" s="26"/>
      <c r="F222" s="26"/>
      <c r="G222" s="26"/>
      <c r="H222" s="26"/>
      <c r="I222" s="41"/>
      <c r="J222" s="28"/>
      <c r="N222" s="26"/>
    </row>
    <row r="223" spans="2:14">
      <c r="B223" s="26"/>
      <c r="C223" s="26"/>
      <c r="D223" s="26"/>
      <c r="E223" s="26"/>
      <c r="F223" s="26"/>
      <c r="G223" s="26"/>
      <c r="H223" s="26"/>
      <c r="I223" s="41"/>
      <c r="J223" s="28"/>
      <c r="N223" s="26"/>
    </row>
    <row r="224" spans="2:14">
      <c r="B224" s="26"/>
      <c r="C224" s="26"/>
      <c r="D224" s="26"/>
      <c r="E224" s="26"/>
      <c r="F224" s="26"/>
      <c r="G224" s="26"/>
      <c r="H224" s="26"/>
      <c r="I224" s="41"/>
      <c r="J224" s="28"/>
      <c r="N224" s="26"/>
    </row>
    <row r="225" spans="2:14">
      <c r="B225" s="26"/>
      <c r="C225" s="26"/>
      <c r="D225" s="26"/>
      <c r="E225" s="26"/>
      <c r="F225" s="26"/>
      <c r="G225" s="26"/>
      <c r="H225" s="26"/>
      <c r="I225" s="41"/>
      <c r="J225" s="28"/>
      <c r="N225" s="26"/>
    </row>
    <row r="226" spans="2:14">
      <c r="B226" s="26"/>
      <c r="C226" s="26"/>
      <c r="D226" s="26"/>
      <c r="E226" s="26"/>
      <c r="F226" s="26"/>
      <c r="G226" s="26"/>
      <c r="H226" s="26"/>
      <c r="I226" s="41"/>
      <c r="J226" s="28"/>
      <c r="N226" s="26"/>
    </row>
    <row r="227" spans="2:14">
      <c r="B227" s="26"/>
      <c r="C227" s="26"/>
      <c r="D227" s="26"/>
      <c r="E227" s="26"/>
      <c r="F227" s="26"/>
      <c r="G227" s="26"/>
      <c r="H227" s="26"/>
      <c r="I227" s="41"/>
      <c r="J227" s="28"/>
      <c r="N227" s="26"/>
    </row>
    <row r="228" spans="2:14">
      <c r="B228" s="26"/>
      <c r="C228" s="26"/>
      <c r="D228" s="26"/>
      <c r="E228" s="26"/>
      <c r="F228" s="26"/>
      <c r="G228" s="26"/>
      <c r="H228" s="26"/>
      <c r="I228" s="41"/>
      <c r="J228" s="28"/>
      <c r="N228" s="26"/>
    </row>
    <row r="229" spans="2:14">
      <c r="B229" s="26"/>
      <c r="C229" s="26"/>
      <c r="D229" s="26"/>
      <c r="E229" s="26"/>
      <c r="F229" s="26"/>
      <c r="G229" s="26"/>
      <c r="H229" s="26"/>
      <c r="I229" s="41"/>
      <c r="J229" s="28"/>
      <c r="N229" s="26"/>
    </row>
    <row r="230" spans="2:14">
      <c r="B230" s="26"/>
      <c r="C230" s="26"/>
      <c r="D230" s="26"/>
      <c r="E230" s="26"/>
      <c r="F230" s="26"/>
      <c r="G230" s="26"/>
      <c r="H230" s="26"/>
      <c r="I230" s="41"/>
      <c r="J230" s="28"/>
      <c r="N230" s="26"/>
    </row>
    <row r="231" spans="2:14">
      <c r="B231" s="26"/>
      <c r="C231" s="26"/>
      <c r="D231" s="26"/>
      <c r="E231" s="26"/>
      <c r="F231" s="26"/>
      <c r="G231" s="26"/>
      <c r="H231" s="26"/>
      <c r="I231" s="41"/>
      <c r="J231" s="28"/>
      <c r="N231" s="26"/>
    </row>
    <row r="232" spans="2:14">
      <c r="B232" s="26"/>
      <c r="C232" s="26"/>
      <c r="D232" s="26"/>
      <c r="E232" s="26"/>
      <c r="F232" s="26"/>
      <c r="G232" s="26"/>
      <c r="H232" s="26"/>
      <c r="I232" s="41"/>
      <c r="J232" s="28"/>
      <c r="N232" s="26"/>
    </row>
    <row r="233" spans="2:14">
      <c r="B233" s="26"/>
      <c r="C233" s="26"/>
      <c r="D233" s="26"/>
      <c r="E233" s="26"/>
      <c r="F233" s="26"/>
      <c r="G233" s="26"/>
      <c r="H233" s="26"/>
      <c r="I233" s="41"/>
      <c r="J233" s="28"/>
      <c r="N233" s="26"/>
    </row>
    <row r="234" spans="2:14">
      <c r="B234" s="26"/>
      <c r="C234" s="26"/>
      <c r="D234" s="26"/>
      <c r="E234" s="26"/>
      <c r="F234" s="26"/>
      <c r="G234" s="26"/>
      <c r="H234" s="26"/>
      <c r="I234" s="41"/>
      <c r="J234" s="28"/>
      <c r="N234" s="26"/>
    </row>
    <row r="235" spans="2:14">
      <c r="B235" s="26"/>
      <c r="C235" s="26"/>
      <c r="D235" s="26"/>
      <c r="E235" s="26"/>
      <c r="F235" s="26"/>
      <c r="G235" s="26"/>
      <c r="H235" s="26"/>
      <c r="I235" s="41"/>
      <c r="J235" s="28"/>
      <c r="N235" s="26"/>
    </row>
    <row r="236" spans="2:14">
      <c r="B236" s="26"/>
      <c r="C236" s="26"/>
      <c r="D236" s="26"/>
      <c r="E236" s="26"/>
      <c r="F236" s="26"/>
      <c r="G236" s="26"/>
      <c r="H236" s="26"/>
      <c r="I236" s="41"/>
      <c r="J236" s="28"/>
      <c r="N236" s="26"/>
    </row>
    <row r="237" spans="2:14">
      <c r="B237" s="26"/>
      <c r="C237" s="26"/>
      <c r="D237" s="26"/>
      <c r="E237" s="26"/>
      <c r="F237" s="26"/>
      <c r="G237" s="26"/>
      <c r="H237" s="26"/>
      <c r="I237" s="41"/>
      <c r="J237" s="28"/>
      <c r="N237" s="26"/>
    </row>
    <row r="238" spans="2:14">
      <c r="B238" s="26"/>
      <c r="C238" s="26"/>
      <c r="D238" s="26"/>
      <c r="E238" s="26"/>
      <c r="F238" s="26"/>
      <c r="G238" s="26"/>
      <c r="H238" s="26"/>
      <c r="I238" s="41"/>
      <c r="J238" s="28"/>
      <c r="N238" s="26"/>
    </row>
    <row r="239" spans="2:14">
      <c r="B239" s="26"/>
      <c r="C239" s="26"/>
      <c r="D239" s="26"/>
      <c r="E239" s="26"/>
      <c r="F239" s="26"/>
      <c r="G239" s="26"/>
      <c r="H239" s="26"/>
      <c r="I239" s="41"/>
      <c r="J239" s="28"/>
      <c r="N239" s="26"/>
    </row>
    <row r="240" spans="2:14">
      <c r="B240" s="26"/>
      <c r="C240" s="26"/>
      <c r="D240" s="26"/>
      <c r="E240" s="26"/>
      <c r="F240" s="26"/>
      <c r="G240" s="26"/>
      <c r="H240" s="26"/>
      <c r="I240" s="41"/>
      <c r="J240" s="28"/>
      <c r="N240" s="26"/>
    </row>
    <row r="241" spans="2:14">
      <c r="B241" s="26"/>
      <c r="C241" s="26"/>
      <c r="D241" s="26"/>
      <c r="E241" s="26"/>
      <c r="F241" s="26"/>
      <c r="G241" s="26"/>
      <c r="H241" s="26"/>
      <c r="I241" s="41"/>
      <c r="J241" s="28"/>
      <c r="N241" s="26"/>
    </row>
    <row r="242" spans="2:14">
      <c r="B242" s="26"/>
      <c r="C242" s="26"/>
      <c r="D242" s="26"/>
      <c r="E242" s="26"/>
      <c r="F242" s="26"/>
      <c r="G242" s="26"/>
      <c r="H242" s="26"/>
      <c r="I242" s="41"/>
      <c r="J242" s="28"/>
      <c r="N242" s="26"/>
    </row>
    <row r="243" spans="2:14">
      <c r="B243" s="26"/>
      <c r="C243" s="26"/>
      <c r="D243" s="26"/>
      <c r="E243" s="26"/>
      <c r="F243" s="26"/>
      <c r="G243" s="26"/>
      <c r="H243" s="26"/>
      <c r="I243" s="41"/>
      <c r="J243" s="28"/>
      <c r="K243" s="26"/>
      <c r="L243" s="26"/>
      <c r="M243" s="26"/>
      <c r="N243" s="26"/>
    </row>
    <row r="244" spans="2:14">
      <c r="B244" s="26"/>
      <c r="C244" s="26"/>
      <c r="D244" s="26"/>
      <c r="E244" s="26"/>
      <c r="F244" s="26"/>
      <c r="G244" s="26"/>
      <c r="H244" s="26"/>
      <c r="I244" s="41"/>
      <c r="J244" s="28"/>
      <c r="K244" s="26"/>
      <c r="L244" s="26"/>
      <c r="M244" s="26"/>
      <c r="N244" s="26"/>
    </row>
    <row r="245" spans="2:14">
      <c r="B245" s="26"/>
      <c r="C245" s="26"/>
      <c r="D245" s="26"/>
      <c r="E245" s="26"/>
      <c r="F245" s="26"/>
      <c r="G245" s="26"/>
      <c r="H245" s="26"/>
      <c r="I245" s="41"/>
      <c r="J245" s="28"/>
      <c r="K245" s="26"/>
      <c r="L245" s="26"/>
      <c r="M245" s="26"/>
      <c r="N245" s="26"/>
    </row>
    <row r="246" spans="2:14">
      <c r="B246" s="26"/>
      <c r="C246" s="26"/>
      <c r="D246" s="26"/>
      <c r="E246" s="26"/>
      <c r="F246" s="26"/>
      <c r="G246" s="26"/>
      <c r="H246" s="26"/>
      <c r="I246" s="41"/>
      <c r="J246" s="28"/>
      <c r="K246" s="26"/>
      <c r="L246" s="26"/>
      <c r="M246" s="26"/>
      <c r="N246" s="26"/>
    </row>
    <row r="247" spans="2:14">
      <c r="B247" s="26"/>
      <c r="C247" s="26"/>
      <c r="D247" s="26"/>
      <c r="E247" s="26"/>
      <c r="F247" s="26"/>
      <c r="G247" s="26"/>
      <c r="H247" s="26"/>
      <c r="I247" s="41"/>
      <c r="J247" s="28"/>
      <c r="K247" s="26"/>
      <c r="L247" s="26"/>
      <c r="M247" s="26"/>
      <c r="N247" s="26"/>
    </row>
  </sheetData>
  <sheetProtection sheet="1" objects="1" scenarios="1" selectLockedCells="1" selectUnlockedCells="1"/>
  <mergeCells count="19">
    <mergeCell ref="F9:H9"/>
    <mergeCell ref="B6:H6"/>
    <mergeCell ref="B10:H10"/>
    <mergeCell ref="B128:H128"/>
    <mergeCell ref="B8:H8"/>
    <mergeCell ref="B68:H68"/>
    <mergeCell ref="F69:H69"/>
    <mergeCell ref="B70:H70"/>
    <mergeCell ref="B20:E20"/>
    <mergeCell ref="B26:E26"/>
    <mergeCell ref="B62:E62"/>
    <mergeCell ref="B80:E80"/>
    <mergeCell ref="B86:E86"/>
    <mergeCell ref="B123:E123"/>
    <mergeCell ref="B140:E140"/>
    <mergeCell ref="B146:E146"/>
    <mergeCell ref="B181:E181"/>
    <mergeCell ref="F129:H129"/>
    <mergeCell ref="B130:H130"/>
  </mergeCells>
  <conditionalFormatting sqref="B28:E28 G138:G147">
    <cfRule type="expression" dxfId="387" priority="97">
      <formula>MOD(ROW(),2)=0</formula>
    </cfRule>
  </conditionalFormatting>
  <conditionalFormatting sqref="H89">
    <cfRule type="expression" dxfId="386" priority="77">
      <formula>MOD(ROW(),2)=0</formula>
    </cfRule>
  </conditionalFormatting>
  <conditionalFormatting sqref="B89:E89">
    <cfRule type="expression" dxfId="385" priority="84">
      <formula>MOD(ROW(),2)=0</formula>
    </cfRule>
  </conditionalFormatting>
  <conditionalFormatting sqref="G18:G27">
    <cfRule type="expression" dxfId="384" priority="71">
      <formula>MOD(ROW(),2)=0</formula>
    </cfRule>
  </conditionalFormatting>
  <conditionalFormatting sqref="G18:G27">
    <cfRule type="dataBar" priority="73">
      <dataBar>
        <cfvo type="min"/>
        <cfvo type="max"/>
        <color theme="4"/>
      </dataBar>
      <extLst>
        <ext xmlns:x14="http://schemas.microsoft.com/office/spreadsheetml/2009/9/main" uri="{B025F937-C7B1-47D3-B67F-A62EFF666E3E}">
          <x14:id>{51940FBA-B8C6-41BB-B07F-3A65A7F31720}</x14:id>
        </ext>
      </extLst>
    </cfRule>
  </conditionalFormatting>
  <conditionalFormatting sqref="G138:G147">
    <cfRule type="dataBar" priority="47">
      <dataBar>
        <cfvo type="min"/>
        <cfvo type="max"/>
        <color theme="4"/>
      </dataBar>
      <extLst>
        <ext xmlns:x14="http://schemas.microsoft.com/office/spreadsheetml/2009/9/main" uri="{B025F937-C7B1-47D3-B67F-A62EFF666E3E}">
          <x14:id>{BBA93253-FE35-4DC1-BB49-0506A7C6A777}</x14:id>
        </ext>
      </extLst>
    </cfRule>
  </conditionalFormatting>
  <conditionalFormatting sqref="G57:G64">
    <cfRule type="expression" dxfId="383" priority="35">
      <formula>MOD(ROW(),2)=0</formula>
    </cfRule>
  </conditionalFormatting>
  <conditionalFormatting sqref="G65">
    <cfRule type="expression" dxfId="382" priority="37">
      <formula>MOD(ROW(),2)=0</formula>
    </cfRule>
  </conditionalFormatting>
  <conditionalFormatting sqref="H88">
    <cfRule type="expression" dxfId="381" priority="27">
      <formula>MOD(ROW(),2)=0</formula>
    </cfRule>
  </conditionalFormatting>
  <conditionalFormatting sqref="G57:G64">
    <cfRule type="dataBar" priority="903">
      <dataBar>
        <cfvo type="min"/>
        <cfvo type="max"/>
        <color theme="4"/>
      </dataBar>
      <extLst>
        <ext xmlns:x14="http://schemas.microsoft.com/office/spreadsheetml/2009/9/main" uri="{B025F937-C7B1-47D3-B67F-A62EFF666E3E}">
          <x14:id>{AC8391CA-B4B3-46DF-9D36-70CE4A6621EF}</x14:id>
        </ext>
      </extLst>
    </cfRule>
  </conditionalFormatting>
  <conditionalFormatting sqref="C88:E88">
    <cfRule type="expression" dxfId="380" priority="34">
      <formula>MOD(ROW(),2)=0</formula>
    </cfRule>
  </conditionalFormatting>
  <conditionalFormatting sqref="B78:E78 C79:E79 B79:B88 C81:E85 C87:E87">
    <cfRule type="expression" dxfId="379" priority="33">
      <formula>MOD(ROW(),2)=0</formula>
    </cfRule>
  </conditionalFormatting>
  <conditionalFormatting sqref="G28:H28">
    <cfRule type="expression" dxfId="378" priority="24">
      <formula>MOD(ROW(),2)=0</formula>
    </cfRule>
  </conditionalFormatting>
  <conditionalFormatting sqref="G88">
    <cfRule type="expression" dxfId="377" priority="28">
      <formula>MOD(ROW(),2)=0</formula>
    </cfRule>
  </conditionalFormatting>
  <conditionalFormatting sqref="G126">
    <cfRule type="expression" dxfId="376" priority="19">
      <formula>MOD(ROW(),2)=0</formula>
    </cfRule>
  </conditionalFormatting>
  <conditionalFormatting sqref="B57:E61 B63:E65 B62">
    <cfRule type="expression" dxfId="375" priority="22">
      <formula>MOD(ROW(),2)=0</formula>
    </cfRule>
  </conditionalFormatting>
  <conditionalFormatting sqref="H57:H65">
    <cfRule type="expression" dxfId="374" priority="21">
      <formula>MOD(ROW(),2)=0</formula>
    </cfRule>
  </conditionalFormatting>
  <conditionalFormatting sqref="C18:E19 C21:E25 C27:E27">
    <cfRule type="expression" dxfId="373" priority="23">
      <formula>MOD(ROW(),2)=0</formula>
    </cfRule>
  </conditionalFormatting>
  <conditionalFormatting sqref="B118:E122 B124:E126 B123">
    <cfRule type="expression" dxfId="372" priority="17">
      <formula>MOD(ROW(),2)=0</formula>
    </cfRule>
  </conditionalFormatting>
  <conditionalFormatting sqref="H118:H126">
    <cfRule type="expression" dxfId="371" priority="16">
      <formula>MOD(ROW(),2)=0</formula>
    </cfRule>
  </conditionalFormatting>
  <conditionalFormatting sqref="G118:G125">
    <cfRule type="expression" dxfId="370" priority="18">
      <formula>MOD(ROW(),2)=0</formula>
    </cfRule>
  </conditionalFormatting>
  <conditionalFormatting sqref="G118:G125">
    <cfRule type="dataBar" priority="20">
      <dataBar>
        <cfvo type="min"/>
        <cfvo type="max"/>
        <color theme="4"/>
      </dataBar>
      <extLst>
        <ext xmlns:x14="http://schemas.microsoft.com/office/spreadsheetml/2009/9/main" uri="{B025F937-C7B1-47D3-B67F-A62EFF666E3E}">
          <x14:id>{5DCF2E79-3691-4DE0-A4A2-DEC4B7EFC35E}</x14:id>
        </ext>
      </extLst>
    </cfRule>
  </conditionalFormatting>
  <conditionalFormatting sqref="H148">
    <cfRule type="expression" dxfId="369" priority="10">
      <formula>MOD(ROW(),2)=0</formula>
    </cfRule>
  </conditionalFormatting>
  <conditionalFormatting sqref="C148:E148">
    <cfRule type="expression" dxfId="368" priority="13">
      <formula>MOD(ROW(),2)=0</formula>
    </cfRule>
  </conditionalFormatting>
  <conditionalFormatting sqref="B138:E138 C139:E139 B139:B148 C141:E145 C147:E147">
    <cfRule type="expression" dxfId="367" priority="12">
      <formula>MOD(ROW(),2)=0</formula>
    </cfRule>
  </conditionalFormatting>
  <conditionalFormatting sqref="G148">
    <cfRule type="expression" dxfId="366" priority="11">
      <formula>MOD(ROW(),2)=0</formula>
    </cfRule>
  </conditionalFormatting>
  <conditionalFormatting sqref="G184">
    <cfRule type="expression" dxfId="365" priority="7">
      <formula>MOD(ROW(),2)=0</formula>
    </cfRule>
  </conditionalFormatting>
  <conditionalFormatting sqref="B176:E180 B182:E184 B181">
    <cfRule type="expression" dxfId="364" priority="5">
      <formula>MOD(ROW(),2)=0</formula>
    </cfRule>
  </conditionalFormatting>
  <conditionalFormatting sqref="H176:H184">
    <cfRule type="expression" dxfId="363" priority="4">
      <formula>MOD(ROW(),2)=0</formula>
    </cfRule>
  </conditionalFormatting>
  <conditionalFormatting sqref="G176:G183">
    <cfRule type="expression" dxfId="362" priority="6">
      <formula>MOD(ROW(),2)=0</formula>
    </cfRule>
  </conditionalFormatting>
  <conditionalFormatting sqref="G176:G183">
    <cfRule type="dataBar" priority="8">
      <dataBar>
        <cfvo type="min"/>
        <cfvo type="max"/>
        <color theme="4"/>
      </dataBar>
      <extLst>
        <ext xmlns:x14="http://schemas.microsoft.com/office/spreadsheetml/2009/9/main" uri="{B025F937-C7B1-47D3-B67F-A62EFF666E3E}">
          <x14:id>{68735DFA-4BC2-4680-A712-16A479F9E95D}</x14:id>
        </ext>
      </extLst>
    </cfRule>
  </conditionalFormatting>
  <conditionalFormatting sqref="B18:B27">
    <cfRule type="expression" dxfId="361" priority="3">
      <formula>MOD(ROW(),2)=0</formula>
    </cfRule>
  </conditionalFormatting>
  <conditionalFormatting sqref="G78:G87">
    <cfRule type="expression" dxfId="360" priority="1">
      <formula>MOD(ROW(),2)=0</formula>
    </cfRule>
  </conditionalFormatting>
  <conditionalFormatting sqref="G78:G87">
    <cfRule type="dataBar" priority="2">
      <dataBar>
        <cfvo type="min"/>
        <cfvo type="max"/>
        <color theme="4"/>
      </dataBar>
      <extLst>
        <ext xmlns:x14="http://schemas.microsoft.com/office/spreadsheetml/2009/9/main" uri="{B025F937-C7B1-47D3-B67F-A62EFF666E3E}">
          <x14:id>{7AB1A09F-684C-4751-A9A1-00827445FD06}</x14:id>
        </ext>
      </extLst>
    </cfRule>
  </conditionalFormatting>
  <pageMargins left="0.7" right="0.7" top="0.78740157499999996" bottom="0.78740157499999996" header="0.3" footer="0.3"/>
  <pageSetup paperSize="9" scale="58" orientation="portrait" r:id="rId1"/>
  <rowBreaks count="2" manualBreakCount="2">
    <brk id="67" min="1" max="7" man="1"/>
    <brk id="127" min="1" max="7" man="1"/>
  </rowBreaks>
  <drawing r:id="rId2"/>
  <extLst>
    <ext xmlns:x14="http://schemas.microsoft.com/office/spreadsheetml/2009/9/main" uri="{78C0D931-6437-407d-A8EE-F0AAD7539E65}">
      <x14:conditionalFormattings>
        <x14:conditionalFormatting xmlns:xm="http://schemas.microsoft.com/office/excel/2006/main">
          <x14:cfRule type="dataBar" id="{51940FBA-B8C6-41BB-B07F-3A65A7F31720}">
            <x14:dataBar minLength="0" maxLength="100" border="1" gradient="0">
              <x14:cfvo type="autoMin"/>
              <x14:cfvo type="autoMax"/>
              <x14:borderColor theme="0" tint="-0.499984740745262"/>
              <x14:negativeFillColor rgb="FFFF0000"/>
              <x14:axisColor rgb="FF000000"/>
            </x14:dataBar>
          </x14:cfRule>
          <xm:sqref>G18:G27</xm:sqref>
        </x14:conditionalFormatting>
        <x14:conditionalFormatting xmlns:xm="http://schemas.microsoft.com/office/excel/2006/main">
          <x14:cfRule type="dataBar" id="{BBA93253-FE35-4DC1-BB49-0506A7C6A777}">
            <x14:dataBar minLength="0" maxLength="100" border="1" gradient="0">
              <x14:cfvo type="autoMin"/>
              <x14:cfvo type="autoMax"/>
              <x14:borderColor theme="0" tint="-0.499984740745262"/>
              <x14:negativeFillColor rgb="FFFF0000"/>
              <x14:axisColor rgb="FF000000"/>
            </x14:dataBar>
          </x14:cfRule>
          <xm:sqref>G138:G147</xm:sqref>
        </x14:conditionalFormatting>
        <x14:conditionalFormatting xmlns:xm="http://schemas.microsoft.com/office/excel/2006/main">
          <x14:cfRule type="dataBar" id="{AC8391CA-B4B3-46DF-9D36-70CE4A6621EF}">
            <x14:dataBar minLength="0" maxLength="100" border="1" gradient="0">
              <x14:cfvo type="autoMin"/>
              <x14:cfvo type="autoMax"/>
              <x14:borderColor theme="0" tint="-0.499984740745262"/>
              <x14:negativeFillColor rgb="FFFF0000"/>
              <x14:axisColor rgb="FF000000"/>
            </x14:dataBar>
          </x14:cfRule>
          <xm:sqref>G57:G64</xm:sqref>
        </x14:conditionalFormatting>
        <x14:conditionalFormatting xmlns:xm="http://schemas.microsoft.com/office/excel/2006/main">
          <x14:cfRule type="dataBar" id="{5DCF2E79-3691-4DE0-A4A2-DEC4B7EFC35E}">
            <x14:dataBar minLength="0" maxLength="100" border="1" gradient="0">
              <x14:cfvo type="autoMin"/>
              <x14:cfvo type="autoMax"/>
              <x14:borderColor theme="0" tint="-0.499984740745262"/>
              <x14:negativeFillColor rgb="FFFF0000"/>
              <x14:axisColor rgb="FF000000"/>
            </x14:dataBar>
          </x14:cfRule>
          <xm:sqref>G118:G125</xm:sqref>
        </x14:conditionalFormatting>
        <x14:conditionalFormatting xmlns:xm="http://schemas.microsoft.com/office/excel/2006/main">
          <x14:cfRule type="dataBar" id="{68735DFA-4BC2-4680-A712-16A479F9E95D}">
            <x14:dataBar minLength="0" maxLength="100" border="1" gradient="0">
              <x14:cfvo type="autoMin"/>
              <x14:cfvo type="autoMax"/>
              <x14:borderColor theme="0" tint="-0.499984740745262"/>
              <x14:negativeFillColor rgb="FFFF0000"/>
              <x14:axisColor rgb="FF000000"/>
            </x14:dataBar>
          </x14:cfRule>
          <xm:sqref>G176:G183</xm:sqref>
        </x14:conditionalFormatting>
        <x14:conditionalFormatting xmlns:xm="http://schemas.microsoft.com/office/excel/2006/main">
          <x14:cfRule type="dataBar" id="{7AB1A09F-684C-4751-A9A1-00827445FD06}">
            <x14:dataBar minLength="0" maxLength="100" border="1" gradient="0">
              <x14:cfvo type="autoMin"/>
              <x14:cfvo type="autoMax"/>
              <x14:borderColor theme="0" tint="-0.499984740745262"/>
              <x14:negativeFillColor rgb="FFFF0000"/>
              <x14:axisColor rgb="FF000000"/>
            </x14:dataBar>
          </x14:cfRule>
          <xm:sqref>G78:G87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0.499984740745262"/>
  </sheetPr>
  <dimension ref="B2:K75"/>
  <sheetViews>
    <sheetView topLeftCell="A7" workbookViewId="0">
      <selection activeCell="B6" sqref="B6:J6"/>
    </sheetView>
  </sheetViews>
  <sheetFormatPr baseColWidth="10" defaultColWidth="12.5703125" defaultRowHeight="15"/>
  <cols>
    <col min="1" max="1" width="4.140625" style="3" customWidth="1"/>
    <col min="2" max="2" width="36" style="3" customWidth="1"/>
    <col min="3" max="3" width="63.42578125" style="3" customWidth="1"/>
    <col min="4" max="4" width="8.140625" style="3" bestFit="1" customWidth="1"/>
    <col min="5" max="5" width="5" style="3" bestFit="1" customWidth="1"/>
    <col min="6" max="6" width="11.140625" style="3" bestFit="1" customWidth="1"/>
    <col min="7" max="7" width="7.5703125" style="3" customWidth="1"/>
    <col min="8" max="8" width="7.7109375" style="3" bestFit="1" customWidth="1"/>
    <col min="9" max="9" width="25.7109375" style="3" customWidth="1"/>
    <col min="10" max="10" width="10" style="3" customWidth="1"/>
    <col min="11" max="16384" width="12.5703125" style="3"/>
  </cols>
  <sheetData>
    <row r="2" spans="2:10" ht="18.75">
      <c r="B2" s="1" t="str">
        <f>VLOOKUP("General_Header",Hidden_Translations!$B$11:$K$1184,Hidden_Translations!$C$8,FALSE)</f>
        <v>Improving Cold Chain Energy Efficiency (ICCEE project)</v>
      </c>
      <c r="C2" s="2"/>
      <c r="D2" s="2"/>
      <c r="E2" s="2"/>
      <c r="F2" s="2"/>
      <c r="G2" s="2"/>
      <c r="H2" s="2"/>
      <c r="I2" s="2"/>
      <c r="J2" s="2"/>
    </row>
    <row r="4" spans="2:10" ht="18.75">
      <c r="B4" s="4" t="str">
        <f>VLOOKUP("Hidden_Database_Header",Hidden_Translations!$B$11:$K$1184,Hidden_Translations!$C$8,FALSE)</f>
        <v>#2: Life cycle assessment: Database</v>
      </c>
      <c r="C4" s="5"/>
      <c r="D4" s="5"/>
      <c r="E4" s="5"/>
      <c r="F4" s="5"/>
      <c r="G4" s="5"/>
      <c r="H4" s="5"/>
      <c r="I4" s="5"/>
      <c r="J4" s="5"/>
    </row>
    <row r="6" spans="2:10" ht="15" customHeight="1">
      <c r="B6" s="503" t="str">
        <f>VLOOKUP("Hidden_Database_Warning1",Hidden_Translations!$B$11:$K$1184,Hidden_Translations!$C$8,FALSE)</f>
        <v>Internal lists only. Please do not modify this sheet unless you know what you are doing. This sheet is copyrighted and subject to the specific licence conditions.</v>
      </c>
      <c r="C6" s="503"/>
      <c r="D6" s="503"/>
      <c r="E6" s="503"/>
      <c r="F6" s="503"/>
      <c r="G6" s="503"/>
      <c r="H6" s="503"/>
      <c r="I6" s="503"/>
      <c r="J6" s="503"/>
    </row>
    <row r="7" spans="2:10" ht="15" customHeight="1">
      <c r="B7" s="503" t="str">
        <f>VLOOKUP("Hidden_Database_Warning2",Hidden_Translations!$B$11:$K$1184,Hidden_Translations!$C$8,FALSE)</f>
        <v>Important: Do not add or remove columns as indirect references are used in the calculation sheets!</v>
      </c>
      <c r="C7" s="503"/>
      <c r="D7" s="503"/>
      <c r="E7" s="503"/>
      <c r="F7" s="503"/>
      <c r="G7" s="503"/>
      <c r="H7" s="503"/>
      <c r="I7" s="503"/>
      <c r="J7" s="503"/>
    </row>
    <row r="8" spans="2:10" ht="15" customHeight="1">
      <c r="B8" s="198"/>
      <c r="C8" s="198"/>
      <c r="D8" s="198"/>
      <c r="E8" s="198"/>
      <c r="F8" s="198"/>
      <c r="G8" s="198"/>
    </row>
    <row r="9" spans="2:10">
      <c r="B9" s="505" t="str">
        <f>VLOOKUP("Hidden_Database_Category",Hidden_Translations!$B$11:$K$1184,Hidden_Translations!$C$8,FALSE)</f>
        <v>Category</v>
      </c>
      <c r="C9" s="244" t="str">
        <f>VLOOKUP("Hidden_Database_Product",Hidden_Translations!$B$11:$K$1184,Hidden_Translations!$C$8,FALSE)</f>
        <v>Product/process</v>
      </c>
      <c r="D9" s="504" t="str">
        <f>VLOOKUP("Hidden_Database_Amount",Hidden_Translations!$B$11:$K$1184,Hidden_Translations!$C$8,FALSE)</f>
        <v>Amount</v>
      </c>
      <c r="E9" s="504" t="str">
        <f>VLOOKUP("Hidden_Database_Unit",Hidden_Translations!$B$11:$K$1184,Hidden_Translations!$C$8,FALSE)</f>
        <v>Unit</v>
      </c>
      <c r="F9" s="245" t="str">
        <f>VLOOKUP("Hidden_Database_GWP",Hidden_Translations!$B$11:$K$1184,Hidden_Translations!$C$8,FALSE)</f>
        <v>GWP</v>
      </c>
      <c r="G9" s="245" t="str">
        <f>VLOOKUP("Hidden_Database_CED",Hidden_Translations!$B$11:$K$1184,Hidden_Translations!$C$8,FALSE)</f>
        <v>CED</v>
      </c>
      <c r="H9" s="246" t="str">
        <f>VLOOKUP("Hidden_Database_AWARE",Hidden_Translations!$B$11:$K$1184,Hidden_Translations!$C$8,FALSE)</f>
        <v>AWARE</v>
      </c>
      <c r="I9" s="247" t="str">
        <f>VLOOKUP("Hidden_Database_LHV",Hidden_Translations!$B$11:$K$1184,Hidden_Translations!$C$8,FALSE)</f>
        <v xml:space="preserve">Lower heating value </v>
      </c>
      <c r="J9" s="247" t="str">
        <f>VLOOKUP("Hidden_Database_Prices",Hidden_Translations!$B$11:$K$1184,Hidden_Translations!$C$8,FALSE)</f>
        <v xml:space="preserve">Prices </v>
      </c>
    </row>
    <row r="10" spans="2:10">
      <c r="B10" s="505"/>
      <c r="C10" s="244"/>
      <c r="D10" s="504"/>
      <c r="E10" s="504"/>
      <c r="F10" s="248" t="str">
        <f>VLOOKUP("Units_kg_CO2_eq",Hidden_Translations!$B$11:$K$1184,Hidden_Translations!$C$8,FALSE)</f>
        <v>[kg CO2 eq.]</v>
      </c>
      <c r="G10" s="248" t="s">
        <v>176</v>
      </c>
      <c r="H10" s="248" t="str">
        <f>VLOOKUP("Units_m3_eq",Hidden_Translations!$B$11:$K$1184,Hidden_Translations!$C$8,FALSE)</f>
        <v>[m³ eq.]</v>
      </c>
      <c r="I10" s="249" t="str">
        <f>VLOOKUP("Units_kWh_unit",Hidden_Translations!$B$11:$K$1184,Hidden_Translations!$C$8,FALSE)</f>
        <v>[kWh/unit]</v>
      </c>
      <c r="J10" s="249" t="str">
        <f>VLOOKUP("Units_Euro_unit",Hidden_Translations!$B$11:$K$1184,Hidden_Translations!$C$8,FALSE)</f>
        <v>[Euro/unit]</v>
      </c>
    </row>
    <row r="11" spans="2:10">
      <c r="B11" s="205" t="str">
        <f>VLOOKUP("Hidden_Database_Road_Transport_1",Hidden_Translations!$B$11:$K$1184,Hidden_Translations!$C$8,FALSE)</f>
        <v>Road transport: Long Distance</v>
      </c>
      <c r="C11" s="206" t="str">
        <f>""</f>
        <v/>
      </c>
      <c r="D11" s="202"/>
      <c r="E11" s="202"/>
      <c r="F11" s="211"/>
      <c r="G11" s="211"/>
      <c r="H11" s="211"/>
      <c r="I11" s="204"/>
      <c r="J11" s="204"/>
    </row>
    <row r="12" spans="2:10">
      <c r="B12" s="205"/>
      <c r="C12" s="206" t="str">
        <f>VLOOKUP("Hidden_Database_Truck_1",Hidden_Translations!$B$11:$K$1184,Hidden_Translations!$C$8,FALSE)</f>
        <v>Lorry truck</v>
      </c>
      <c r="D12" s="203">
        <v>1</v>
      </c>
      <c r="E12" s="203" t="str">
        <f>VLOOKUP("Units_tkm",Hidden_Translations!$B$11:$K$1184,Hidden_Translations!$C$8,FALSE)</f>
        <v>[tkm]</v>
      </c>
      <c r="F12" s="212">
        <v>0.21299999999999999</v>
      </c>
      <c r="G12" s="212">
        <v>3.24</v>
      </c>
      <c r="H12" s="212">
        <v>1.7100000000000001E-2</v>
      </c>
      <c r="I12" s="199"/>
      <c r="J12" s="199"/>
    </row>
    <row r="13" spans="2:10">
      <c r="B13" s="175" t="str">
        <f>VLOOKUP("Hidden_Database_Road_Transport_2",Hidden_Translations!$B$11:$K$1184,Hidden_Translations!$C$8,FALSE)</f>
        <v>Road transport: Refrigerated</v>
      </c>
      <c r="C13" s="207" t="str">
        <f>""</f>
        <v/>
      </c>
      <c r="D13" s="200"/>
      <c r="E13" s="200"/>
      <c r="F13" s="213"/>
      <c r="G13" s="213"/>
      <c r="H13" s="213"/>
      <c r="I13" s="31"/>
      <c r="J13" s="31"/>
    </row>
    <row r="14" spans="2:10">
      <c r="B14" s="31"/>
      <c r="C14" s="207" t="str">
        <f>VLOOKUP("Hidden_Database_Truck_2",Hidden_Translations!$B$11:$K$1184,Hidden_Translations!$C$8,FALSE)</f>
        <v>Lorry truck R134a-cooling</v>
      </c>
      <c r="D14" s="200">
        <v>1</v>
      </c>
      <c r="E14" s="200" t="str">
        <f>E12</f>
        <v>[tkm]</v>
      </c>
      <c r="F14" s="213">
        <v>0.26800000000000002</v>
      </c>
      <c r="G14" s="213">
        <v>3.8</v>
      </c>
      <c r="H14" s="213">
        <v>2.5000000000000001E-2</v>
      </c>
      <c r="I14" s="31"/>
      <c r="J14" s="31"/>
    </row>
    <row r="15" spans="2:10">
      <c r="B15" s="205" t="str">
        <f>VLOOKUP("Hidden_Database_Finished",Hidden_Translations!$B$11:$K$1184,Hidden_Translations!$C$8,FALSE)</f>
        <v>Finished products</v>
      </c>
      <c r="C15" s="206" t="str">
        <f>""</f>
        <v/>
      </c>
      <c r="D15" s="208"/>
      <c r="E15" s="208"/>
      <c r="F15" s="212"/>
      <c r="G15" s="212"/>
      <c r="H15" s="212"/>
      <c r="I15" s="199"/>
      <c r="J15" s="199"/>
    </row>
    <row r="16" spans="2:10">
      <c r="B16" s="209"/>
      <c r="C16" s="206" t="str">
        <f>VLOOKUP("Hidden_Database_Milk",Hidden_Translations!$B$11:$K$1184,Hidden_Translations!$C$8,FALSE)</f>
        <v>Processed Milk</v>
      </c>
      <c r="D16" s="208">
        <v>1</v>
      </c>
      <c r="E16" s="208" t="s">
        <v>181</v>
      </c>
      <c r="F16" s="212">
        <v>1.63</v>
      </c>
      <c r="G16" s="212">
        <v>4.05</v>
      </c>
      <c r="H16" s="212">
        <v>0.127</v>
      </c>
      <c r="I16" s="199"/>
      <c r="J16" s="199"/>
    </row>
    <row r="17" spans="2:10">
      <c r="B17" s="209"/>
      <c r="C17" s="206" t="str">
        <f>VLOOKUP("Hidden_Database_Cheese",Hidden_Translations!$B$11:$K$1184,Hidden_Translations!$C$8,FALSE)</f>
        <v>Cheese</v>
      </c>
      <c r="D17" s="208">
        <v>1</v>
      </c>
      <c r="E17" s="208" t="s">
        <v>181</v>
      </c>
      <c r="F17" s="212">
        <v>6.77</v>
      </c>
      <c r="G17" s="212">
        <v>18</v>
      </c>
      <c r="H17" s="212">
        <v>0.52300000000000002</v>
      </c>
      <c r="I17" s="199"/>
      <c r="J17" s="199"/>
    </row>
    <row r="18" spans="2:10">
      <c r="B18" s="209"/>
      <c r="C18" s="206" t="str">
        <f>VLOOKUP("Hidden_Database_chicken",Hidden_Translations!$B$11:$K$1184,Hidden_Translations!$C$8,FALSE)</f>
        <v>Chicken</v>
      </c>
      <c r="D18" s="208">
        <v>1</v>
      </c>
      <c r="E18" s="208" t="s">
        <v>181</v>
      </c>
      <c r="F18" s="212">
        <v>6.47</v>
      </c>
      <c r="G18" s="212">
        <v>23.5</v>
      </c>
      <c r="H18" s="212">
        <v>0.77400000000000002</v>
      </c>
      <c r="I18" s="199"/>
      <c r="J18" s="199"/>
    </row>
    <row r="19" spans="2:10">
      <c r="B19" s="209"/>
      <c r="C19" s="206" t="str">
        <f>VLOOKUP("Hidden_Database_Pork",Hidden_Translations!$B$11:$K$1184,Hidden_Translations!$C$8,FALSE)</f>
        <v>Pork</v>
      </c>
      <c r="D19" s="208">
        <v>1</v>
      </c>
      <c r="E19" s="208" t="s">
        <v>181</v>
      </c>
      <c r="F19" s="212">
        <v>4.68</v>
      </c>
      <c r="G19" s="212">
        <v>18.899999999999999</v>
      </c>
      <c r="H19" s="212">
        <v>0.98099999999999998</v>
      </c>
      <c r="I19" s="199"/>
      <c r="J19" s="199"/>
    </row>
    <row r="20" spans="2:10">
      <c r="B20" s="209"/>
      <c r="C20" s="206" t="str">
        <f>VLOOKUP("Hidden_Database_Beef",Hidden_Translations!$B$11:$K$1184,Hidden_Translations!$C$8,FALSE)</f>
        <v>Beef</v>
      </c>
      <c r="D20" s="208">
        <v>1</v>
      </c>
      <c r="E20" s="208" t="s">
        <v>181</v>
      </c>
      <c r="F20" s="212">
        <v>32.4</v>
      </c>
      <c r="G20" s="212">
        <v>105</v>
      </c>
      <c r="H20" s="212">
        <v>15.9</v>
      </c>
      <c r="I20" s="199"/>
      <c r="J20" s="199"/>
    </row>
    <row r="21" spans="2:10">
      <c r="B21" s="209"/>
      <c r="C21" s="206" t="str">
        <f>VLOOKUP("Hidden_Database_Eggs",Hidden_Translations!$B$11:$K$1184,Hidden_Translations!$C$8,FALSE)</f>
        <v>Eggs</v>
      </c>
      <c r="D21" s="208">
        <v>1</v>
      </c>
      <c r="E21" s="208" t="s">
        <v>181</v>
      </c>
      <c r="F21" s="212">
        <f>(0.31/383*12)/0.7</f>
        <v>1.3875419619544947E-2</v>
      </c>
      <c r="G21" s="212">
        <f>(1.39/383*12)/0.7</f>
        <v>6.2215591197314429E-2</v>
      </c>
      <c r="H21" s="212">
        <f>(0.0709/383*12)/0.7</f>
        <v>3.1734427452443119E-3</v>
      </c>
      <c r="I21" s="199"/>
      <c r="J21" s="199"/>
    </row>
    <row r="22" spans="2:10">
      <c r="B22" s="209"/>
      <c r="C22" s="206" t="str">
        <f>VLOOKUP("Hidden_Database_Fresh_Fish",Hidden_Translations!$B$11:$K$1184,Hidden_Translations!$C$8,FALSE)</f>
        <v>Fresh fish (in ice)</v>
      </c>
      <c r="D22" s="208">
        <v>1</v>
      </c>
      <c r="E22" s="208" t="s">
        <v>181</v>
      </c>
      <c r="F22" s="212">
        <v>2.1787934999999998</v>
      </c>
      <c r="G22" s="212">
        <v>31.573511</v>
      </c>
      <c r="H22" s="212">
        <v>0.10683053000000001</v>
      </c>
      <c r="I22" s="199"/>
      <c r="J22" s="199"/>
    </row>
    <row r="23" spans="2:10">
      <c r="B23" s="209"/>
      <c r="C23" s="206" t="str">
        <f>VLOOKUP("Hidden_Database_Frozen_Fish",Hidden_Translations!$B$11:$K$1184,Hidden_Translations!$C$8,FALSE)</f>
        <v>Frozen fish</v>
      </c>
      <c r="D23" s="208">
        <v>1</v>
      </c>
      <c r="E23" s="208" t="s">
        <v>181</v>
      </c>
      <c r="F23" s="212">
        <v>2.5436608000000001</v>
      </c>
      <c r="G23" s="212">
        <v>37.211975000000002</v>
      </c>
      <c r="H23" s="212">
        <v>0.12362595999999999</v>
      </c>
      <c r="I23" s="199"/>
      <c r="J23" s="199"/>
    </row>
    <row r="24" spans="2:10">
      <c r="B24" s="209"/>
      <c r="C24" s="335">
        <f>Input!F28</f>
        <v>0</v>
      </c>
      <c r="D24" s="208">
        <v>1</v>
      </c>
      <c r="E24" s="208" t="s">
        <v>181</v>
      </c>
      <c r="F24" s="336">
        <f>Input!F32</f>
        <v>0</v>
      </c>
      <c r="G24" s="336">
        <f>Input!F33</f>
        <v>0</v>
      </c>
      <c r="H24" s="336">
        <f>Input!F34</f>
        <v>0</v>
      </c>
      <c r="I24" s="199"/>
      <c r="J24" s="199"/>
    </row>
    <row r="25" spans="2:10">
      <c r="B25" s="215" t="str">
        <f>VLOOKUP("Hidden_Database_Semi",Hidden_Translations!$B$11:$K$1184,Hidden_Translations!$C$8,FALSE)</f>
        <v>Semi-manufactured products</v>
      </c>
      <c r="C25" s="207" t="str">
        <f>""</f>
        <v/>
      </c>
      <c r="D25" s="216"/>
      <c r="E25" s="216"/>
      <c r="F25" s="214"/>
      <c r="G25" s="214"/>
      <c r="H25" s="214"/>
      <c r="I25" s="31"/>
      <c r="J25" s="31"/>
    </row>
    <row r="26" spans="2:10">
      <c r="B26" s="217"/>
      <c r="C26" s="207" t="str">
        <f>VLOOKUP("Hidden_Database_Yogurt",Hidden_Translations!$B$11:$K$1185,Hidden_Translations!$C$8,FALSE)</f>
        <v>Yogurt</v>
      </c>
      <c r="D26" s="27">
        <v>1</v>
      </c>
      <c r="E26" s="27" t="s">
        <v>181</v>
      </c>
      <c r="F26" s="213">
        <v>1.96</v>
      </c>
      <c r="G26" s="213">
        <v>30.9</v>
      </c>
      <c r="H26" s="213">
        <v>1.55</v>
      </c>
      <c r="I26" s="31"/>
      <c r="J26" s="31"/>
    </row>
    <row r="27" spans="2:10">
      <c r="B27" s="217"/>
      <c r="C27" s="207" t="str">
        <f>VLOOKUP("Hidden_Database_Apple",Hidden_Translations!$B$11:$K$1185,Hidden_Translations!$C$8,FALSE)</f>
        <v>Apple</v>
      </c>
      <c r="D27" s="27">
        <v>1</v>
      </c>
      <c r="E27" s="27" t="s">
        <v>181</v>
      </c>
      <c r="F27" s="213">
        <v>0.33641386000000001</v>
      </c>
      <c r="G27" s="213">
        <v>8.3338734999999993</v>
      </c>
      <c r="H27" s="213">
        <v>5.1817112999999999</v>
      </c>
      <c r="I27" s="31"/>
      <c r="J27" s="31"/>
    </row>
    <row r="28" spans="2:10">
      <c r="B28" s="217"/>
      <c r="C28" s="207" t="str">
        <f>VLOOKUP("Hidden_Database_Avocado",Hidden_Translations!$B$11:$K$1185,Hidden_Translations!$C$8,FALSE)</f>
        <v>Avocado</v>
      </c>
      <c r="D28" s="27">
        <v>1</v>
      </c>
      <c r="E28" s="27" t="s">
        <v>181</v>
      </c>
      <c r="F28" s="213">
        <v>0.83128652999999997</v>
      </c>
      <c r="G28" s="213">
        <v>17.232372999999999</v>
      </c>
      <c r="H28" s="213">
        <v>17.905325999999999</v>
      </c>
      <c r="I28" s="31"/>
      <c r="J28" s="31"/>
    </row>
    <row r="29" spans="2:10">
      <c r="B29" s="217"/>
      <c r="C29" s="207" t="str">
        <f>VLOOKUP("Hidden_Database_Banana",Hidden_Translations!$B$11:$K$1185,Hidden_Translations!$C$8,FALSE)</f>
        <v>Banana</v>
      </c>
      <c r="D29" s="27">
        <v>1</v>
      </c>
      <c r="E29" s="27" t="s">
        <v>181</v>
      </c>
      <c r="F29" s="213">
        <v>0.33516794</v>
      </c>
      <c r="G29" s="213">
        <v>8.3877024000000002</v>
      </c>
      <c r="H29" s="213">
        <v>6.0716216999999997</v>
      </c>
      <c r="I29" s="31"/>
      <c r="J29" s="31"/>
    </row>
    <row r="30" spans="2:10">
      <c r="B30" s="217"/>
      <c r="C30" s="207" t="str">
        <f>VLOOKUP("Hidden_Database_Orange",Hidden_Translations!$B$11:$K$1185,Hidden_Translations!$C$8,FALSE)</f>
        <v>Fresh Orange</v>
      </c>
      <c r="D30" s="27">
        <v>1</v>
      </c>
      <c r="E30" s="27" t="s">
        <v>181</v>
      </c>
      <c r="F30" s="213">
        <v>0.27850730000000001</v>
      </c>
      <c r="G30" s="213">
        <v>6.3299361000000003</v>
      </c>
      <c r="H30" s="213">
        <v>3.5601701000000001</v>
      </c>
      <c r="I30" s="31"/>
      <c r="J30" s="31"/>
    </row>
    <row r="31" spans="2:10">
      <c r="B31" s="217"/>
      <c r="C31" s="207" t="str">
        <f>VLOOKUP("Hidden_Database_Peach",Hidden_Translations!$B$11:$K$1185,Hidden_Translations!$C$8,FALSE)</f>
        <v>Peach</v>
      </c>
      <c r="D31" s="27">
        <v>1</v>
      </c>
      <c r="E31" s="27" t="s">
        <v>181</v>
      </c>
      <c r="F31" s="213">
        <v>0.48731236999999999</v>
      </c>
      <c r="G31" s="213">
        <v>9.2439406999999996</v>
      </c>
      <c r="H31" s="213">
        <v>8.3759063999999999</v>
      </c>
      <c r="I31" s="31"/>
      <c r="J31" s="31"/>
    </row>
    <row r="32" spans="2:10">
      <c r="B32" s="217"/>
      <c r="C32" s="207" t="str">
        <f>VLOOKUP("Hidden_Database_Strawberry",Hidden_Translations!$B$11:$K$1185,Hidden_Translations!$C$8,FALSE)</f>
        <v>Strawberry</v>
      </c>
      <c r="D32" s="27">
        <v>1</v>
      </c>
      <c r="E32" s="27" t="s">
        <v>181</v>
      </c>
      <c r="F32" s="213">
        <v>0.36492543</v>
      </c>
      <c r="G32" s="213">
        <v>7.2188061000000001</v>
      </c>
      <c r="H32" s="213">
        <v>6.7115660000000004</v>
      </c>
      <c r="I32" s="31"/>
      <c r="J32" s="31"/>
    </row>
    <row r="33" spans="2:10">
      <c r="B33" s="217"/>
      <c r="C33" s="207" t="str">
        <f>VLOOKUP("Hidden_Database_Tomato",Hidden_Translations!$B$11:$K$1185,Hidden_Translations!$C$8,FALSE)</f>
        <v>Fresh Tomato</v>
      </c>
      <c r="D33" s="27">
        <v>1</v>
      </c>
      <c r="E33" s="27" t="s">
        <v>181</v>
      </c>
      <c r="F33" s="213">
        <v>0.37925255000000002</v>
      </c>
      <c r="G33" s="213">
        <v>5.9263208000000001</v>
      </c>
      <c r="H33" s="213">
        <v>2.3431918999999999</v>
      </c>
      <c r="I33" s="31"/>
      <c r="J33" s="31"/>
    </row>
    <row r="34" spans="2:10">
      <c r="B34" s="217"/>
      <c r="C34" s="207" t="str">
        <f>VLOOKUP("Hidden_Database_Carrot",Hidden_Translations!$B$11:$K$1185,Hidden_Translations!$C$8,FALSE)</f>
        <v>Carrot</v>
      </c>
      <c r="D34" s="27">
        <v>1</v>
      </c>
      <c r="E34" s="27" t="s">
        <v>181</v>
      </c>
      <c r="F34" s="213">
        <v>0.24844438999999999</v>
      </c>
      <c r="G34" s="213">
        <v>5.4839219000000003</v>
      </c>
      <c r="H34" s="213">
        <v>1.7346843000000001</v>
      </c>
      <c r="I34" s="31"/>
      <c r="J34" s="31"/>
    </row>
    <row r="35" spans="2:10">
      <c r="B35" s="217"/>
      <c r="C35" s="207" t="str">
        <f>VLOOKUP("Hidden_Database_Onion",Hidden_Translations!$B$11:$K$1185,Hidden_Translations!$C$8,FALSE)</f>
        <v>Onion</v>
      </c>
      <c r="D35" s="27">
        <v>1</v>
      </c>
      <c r="E35" s="27" t="s">
        <v>181</v>
      </c>
      <c r="F35" s="213">
        <v>0.34797595999999997</v>
      </c>
      <c r="G35" s="213">
        <v>6.4719555</v>
      </c>
      <c r="H35" s="213">
        <v>1.4947627000000001</v>
      </c>
      <c r="I35" s="31"/>
      <c r="J35" s="31"/>
    </row>
    <row r="36" spans="2:10">
      <c r="B36" s="217"/>
      <c r="C36" s="207" t="str">
        <f>VLOOKUP("Hidden_Database_Potato",Hidden_Translations!$B$11:$K$1185,Hidden_Translations!$C$8,FALSE)</f>
        <v>Potato</v>
      </c>
      <c r="D36" s="27">
        <v>1</v>
      </c>
      <c r="E36" s="27" t="s">
        <v>181</v>
      </c>
      <c r="F36" s="213">
        <v>0.28272098000000001</v>
      </c>
      <c r="G36" s="213">
        <v>8.2155096000000007</v>
      </c>
      <c r="H36" s="213">
        <v>1.8691743999999999</v>
      </c>
      <c r="I36" s="31"/>
      <c r="J36" s="31"/>
    </row>
    <row r="37" spans="2:10">
      <c r="B37" s="217"/>
      <c r="C37" s="207" t="str">
        <f>VLOOKUP("Hidden_Database_Lettuce",Hidden_Translations!$B$11:$K$1185,Hidden_Translations!$C$8,FALSE)</f>
        <v>Lettuce</v>
      </c>
      <c r="D37" s="27">
        <v>1</v>
      </c>
      <c r="E37" s="27" t="s">
        <v>181</v>
      </c>
      <c r="F37" s="213">
        <v>3.6973353000000002</v>
      </c>
      <c r="G37" s="213">
        <v>36.518205000000002</v>
      </c>
      <c r="H37" s="213">
        <v>0.58246770000000003</v>
      </c>
      <c r="I37" s="31"/>
      <c r="J37" s="31"/>
    </row>
    <row r="38" spans="2:10">
      <c r="B38" s="205" t="str">
        <f>VLOOKUP("Hidden_Database_Packaging_Materials",Hidden_Translations!$B$11:$K$1184,Hidden_Translations!$C$8,FALSE)</f>
        <v>Packaging materials</v>
      </c>
      <c r="C38" s="206" t="str">
        <f>""</f>
        <v/>
      </c>
      <c r="D38" s="208"/>
      <c r="E38" s="208"/>
      <c r="F38" s="212"/>
      <c r="G38" s="212"/>
      <c r="H38" s="212"/>
      <c r="I38" s="199"/>
      <c r="J38" s="199"/>
    </row>
    <row r="39" spans="2:10">
      <c r="B39" s="209"/>
      <c r="C39" s="206" t="str">
        <f>VLOOKUP("Hidden_Database_Packaging_Glass",Hidden_Translations!$B$11:$K$1185,Hidden_Translations!$C$8,FALSE)</f>
        <v>Packaging glass</v>
      </c>
      <c r="D39" s="208">
        <v>1</v>
      </c>
      <c r="E39" s="208" t="s">
        <v>181</v>
      </c>
      <c r="F39" s="212">
        <v>0.96368821000000005</v>
      </c>
      <c r="G39" s="212">
        <v>14.8</v>
      </c>
      <c r="H39" s="212">
        <v>0.215</v>
      </c>
      <c r="I39" s="199"/>
      <c r="J39" s="199"/>
    </row>
    <row r="40" spans="2:10">
      <c r="B40" s="209"/>
      <c r="C40" s="206" t="str">
        <f>VLOOKUP("Hidden_Database_Board_Box",Hidden_Translations!$B$11:$K$1185,Hidden_Translations!$C$8,FALSE)</f>
        <v>Corrugated board box</v>
      </c>
      <c r="D40" s="208">
        <v>1</v>
      </c>
      <c r="E40" s="208" t="s">
        <v>181</v>
      </c>
      <c r="F40" s="212">
        <v>0.90949990000000003</v>
      </c>
      <c r="G40" s="212">
        <v>21.9</v>
      </c>
      <c r="H40" s="212">
        <v>0.187</v>
      </c>
      <c r="I40" s="199"/>
      <c r="J40" s="199"/>
    </row>
    <row r="41" spans="2:10">
      <c r="B41" s="209"/>
      <c r="C41" s="206" t="str">
        <f>VLOOKUP("Hidden_Database_Bottles",Hidden_Translations!$B$11:$K$1185,Hidden_Translations!$C$8,FALSE)</f>
        <v>HDPE bottles</v>
      </c>
      <c r="D41" s="208">
        <v>1</v>
      </c>
      <c r="E41" s="208" t="s">
        <v>181</v>
      </c>
      <c r="F41" s="212">
        <v>3.1754798000000002</v>
      </c>
      <c r="G41" s="212">
        <v>105</v>
      </c>
      <c r="H41" s="212">
        <v>1.44</v>
      </c>
      <c r="I41" s="199"/>
      <c r="J41" s="199"/>
    </row>
    <row r="42" spans="2:10">
      <c r="B42" s="175" t="str">
        <f>VLOOKUP("Hidden_Database_Waste",Hidden_Translations!$B$11:$K$1184,Hidden_Translations!$C$8,FALSE)</f>
        <v>Waste disposal</v>
      </c>
      <c r="C42" s="207" t="str">
        <f>""</f>
        <v/>
      </c>
      <c r="D42" s="200"/>
      <c r="E42" s="200" t="str">
        <f>""</f>
        <v/>
      </c>
      <c r="F42" s="213"/>
      <c r="G42" s="213"/>
      <c r="H42" s="213"/>
      <c r="I42" s="31"/>
      <c r="J42" s="31"/>
    </row>
    <row r="43" spans="2:10">
      <c r="B43" s="219"/>
      <c r="C43" s="207" t="str">
        <f>VLOOKUP("Hidden_Database_Cardboard_1",Hidden_Translations!$B$11:$K$1185,Hidden_Translations!$C$8,FALSE)</f>
        <v>Cardboard to landfill</v>
      </c>
      <c r="D43" s="200">
        <v>1</v>
      </c>
      <c r="E43" s="200" t="s">
        <v>181</v>
      </c>
      <c r="F43" s="213">
        <v>1.5174628999999999</v>
      </c>
      <c r="G43" s="213">
        <v>0.42595854999999999</v>
      </c>
      <c r="H43" s="213">
        <v>1.3427823E-2</v>
      </c>
      <c r="I43" s="31"/>
      <c r="J43" s="31"/>
    </row>
    <row r="44" spans="2:10">
      <c r="B44" s="219"/>
      <c r="C44" s="207" t="str">
        <f>VLOOKUP("Hidden_Database_Cardboard_2",Hidden_Translations!$B$11:$K$1185,Hidden_Translations!$C$8,FALSE)</f>
        <v>Cardboard to recycling</v>
      </c>
      <c r="D44" s="200">
        <v>1</v>
      </c>
      <c r="E44" s="200" t="s">
        <v>181</v>
      </c>
      <c r="F44" s="213">
        <v>-0.53721980000000003</v>
      </c>
      <c r="G44" s="213">
        <v>-74.349126999999996</v>
      </c>
      <c r="H44" s="213">
        <v>-6.8118645000000004</v>
      </c>
      <c r="I44" s="31"/>
      <c r="J44" s="31"/>
    </row>
    <row r="45" spans="2:10">
      <c r="B45" s="219"/>
      <c r="C45" s="207" t="str">
        <f>VLOOKUP("Hidden_Database_Glass_1",Hidden_Translations!$B$11:$K$1185,Hidden_Translations!$C$8,FALSE)</f>
        <v>Glass to landfill</v>
      </c>
      <c r="D45" s="200">
        <v>1</v>
      </c>
      <c r="E45" s="200" t="s">
        <v>181</v>
      </c>
      <c r="F45" s="213">
        <v>4.3162529999999999E-3</v>
      </c>
      <c r="G45" s="213">
        <v>0.15332709</v>
      </c>
      <c r="H45" s="213">
        <v>5.8923066000000001E-4</v>
      </c>
      <c r="I45" s="31"/>
      <c r="J45" s="31"/>
    </row>
    <row r="46" spans="2:10">
      <c r="B46" s="219"/>
      <c r="C46" s="207" t="str">
        <f>VLOOKUP("Hidden_Database_Glass_2",Hidden_Translations!$B$11:$K$1185,Hidden_Translations!$C$8,FALSE)</f>
        <v>Glass to recycling</v>
      </c>
      <c r="D46" s="200">
        <v>1</v>
      </c>
      <c r="E46" s="200" t="s">
        <v>181</v>
      </c>
      <c r="F46" s="213">
        <v>-1.3005475</v>
      </c>
      <c r="G46" s="213">
        <v>-18.630029</v>
      </c>
      <c r="H46" s="213">
        <v>-0.47061319000000001</v>
      </c>
      <c r="I46" s="31"/>
      <c r="J46" s="31"/>
    </row>
    <row r="47" spans="2:10">
      <c r="B47" s="219"/>
      <c r="C47" s="207" t="str">
        <f>VLOOKUP("Hidden_Database_Polyethylene_1",Hidden_Translations!$B$11:$K$1185,Hidden_Translations!$C$8,FALSE)</f>
        <v>Polyethylene to landfill</v>
      </c>
      <c r="D47" s="200">
        <v>1</v>
      </c>
      <c r="E47" s="200" t="s">
        <v>181</v>
      </c>
      <c r="F47" s="213">
        <v>0.12865013</v>
      </c>
      <c r="G47" s="213">
        <v>0.28292502000000003</v>
      </c>
      <c r="H47" s="213">
        <v>1.1659684999999999E-2</v>
      </c>
      <c r="I47" s="31"/>
      <c r="J47" s="31"/>
    </row>
    <row r="48" spans="2:10">
      <c r="B48" s="219"/>
      <c r="C48" s="207" t="str">
        <f>VLOOKUP("Hidden_Database_Polyethylene_2",Hidden_Translations!$B$11:$K$1185,Hidden_Translations!$C$8,FALSE)</f>
        <v>Polyethylene to recycling</v>
      </c>
      <c r="D48" s="200">
        <v>1</v>
      </c>
      <c r="E48" s="200" t="s">
        <v>181</v>
      </c>
      <c r="F48" s="213">
        <v>-1.5573840999999999</v>
      </c>
      <c r="G48" s="213">
        <v>-70.609702999999996</v>
      </c>
      <c r="H48" s="213">
        <v>-0.40860856000000001</v>
      </c>
      <c r="I48" s="31"/>
      <c r="J48" s="31"/>
    </row>
    <row r="49" spans="2:11">
      <c r="B49" s="219"/>
      <c r="C49" s="207" t="str">
        <f>VLOOKUP("Hidden_Database_Waste_1",Hidden_Translations!$B$11:$K$1185,Hidden_Translations!$C$8,FALSE)</f>
        <v>Biodegradable waste to industrial composting</v>
      </c>
      <c r="D49" s="200">
        <v>1</v>
      </c>
      <c r="E49" s="200" t="s">
        <v>181</v>
      </c>
      <c r="F49" s="213">
        <v>6.1185156999999997E-2</v>
      </c>
      <c r="G49" s="213">
        <v>0.47981635</v>
      </c>
      <c r="H49" s="213">
        <v>3.4037082999999999E-4</v>
      </c>
      <c r="I49" s="31"/>
      <c r="J49" s="31"/>
    </row>
    <row r="50" spans="2:11">
      <c r="B50" s="219"/>
      <c r="C50" s="207" t="str">
        <f>VLOOKUP("Hidden_Database_Waste_2",Hidden_Translations!$B$11:$K$1185,Hidden_Translations!$C$8,FALSE)</f>
        <v>Slaughterhouse waste to municipal incineration</v>
      </c>
      <c r="D50" s="200">
        <v>1</v>
      </c>
      <c r="E50" s="200" t="s">
        <v>181</v>
      </c>
      <c r="F50" s="213">
        <v>0.18047483</v>
      </c>
      <c r="G50" s="213">
        <v>1.0303578</v>
      </c>
      <c r="H50" s="213">
        <v>5.4625355E-2</v>
      </c>
      <c r="I50" s="31"/>
      <c r="J50" s="31"/>
    </row>
    <row r="51" spans="2:11">
      <c r="B51" s="219"/>
      <c r="C51" s="207" t="str">
        <f>VLOOKUP("Hidden_Database_Waste_3",Hidden_Translations!$B$11:$K$1185,Hidden_Translations!$C$8,FALSE)</f>
        <v>Slaughterhouse waste rendering to tallow and meat and bone meal</v>
      </c>
      <c r="D51" s="200">
        <v>1</v>
      </c>
      <c r="E51" s="200" t="s">
        <v>181</v>
      </c>
      <c r="F51" s="213">
        <v>0.14334332999999999</v>
      </c>
      <c r="G51" s="213">
        <v>2.1399225999999998</v>
      </c>
      <c r="H51" s="213">
        <v>5.5708089000000002E-2</v>
      </c>
      <c r="I51" s="31"/>
      <c r="J51" s="31"/>
    </row>
    <row r="52" spans="2:11">
      <c r="B52" s="219"/>
      <c r="C52" s="207" t="str">
        <f>VLOOKUP("Hidden_Database_Waste_4",Hidden_Translations!$B$11:$K$1185,Hidden_Translations!$C$8,FALSE)</f>
        <v>Biodegradable waste to anaerobic digestion</v>
      </c>
      <c r="D52" s="200">
        <v>1</v>
      </c>
      <c r="E52" s="200" t="s">
        <v>181</v>
      </c>
      <c r="F52" s="213">
        <v>0.11286098999999999</v>
      </c>
      <c r="G52" s="213">
        <v>0.68918049000000003</v>
      </c>
      <c r="H52" s="213">
        <v>7.4358070999999996E-3</v>
      </c>
      <c r="I52" s="31"/>
      <c r="J52" s="31"/>
    </row>
    <row r="53" spans="2:11">
      <c r="B53" s="219"/>
      <c r="C53" s="207" t="str">
        <f>VLOOKUP("Hidden_Database_Wastewater",Hidden_Translations!$B$11:$K$1185,Hidden_Translations!$C$8,FALSE)</f>
        <v>Wastewater to average wastewater treatment plant</v>
      </c>
      <c r="D53" s="200">
        <v>1</v>
      </c>
      <c r="E53" s="220" t="s">
        <v>197</v>
      </c>
      <c r="F53" s="213">
        <v>0.50356007999999997</v>
      </c>
      <c r="G53" s="213">
        <v>6.6311999999999998</v>
      </c>
      <c r="H53" s="213">
        <v>-18.604496000000001</v>
      </c>
      <c r="I53" s="31"/>
      <c r="J53" s="31"/>
    </row>
    <row r="54" spans="2:11">
      <c r="B54" s="223" t="str">
        <f>VLOOKUP("Hidden_Database_Water",Hidden_Translations!$B$11:$K$1184,Hidden_Translations!$C$8,FALSE)</f>
        <v>Water</v>
      </c>
      <c r="C54" s="207" t="str">
        <f>""</f>
        <v/>
      </c>
      <c r="D54" s="200"/>
      <c r="E54" s="200"/>
      <c r="F54" s="213"/>
      <c r="G54" s="213"/>
      <c r="H54" s="213"/>
      <c r="I54" s="31"/>
      <c r="J54" s="31"/>
    </row>
    <row r="55" spans="2:11">
      <c r="B55" s="223"/>
      <c r="C55" s="207" t="str">
        <f>VLOOKUP("Hidden_Database_Tap_water",Hidden_Translations!$B$11:$K$1185,Hidden_Translations!$C$8,FALSE)</f>
        <v>Tap water</v>
      </c>
      <c r="D55" s="200">
        <v>1</v>
      </c>
      <c r="E55" s="220" t="s">
        <v>197</v>
      </c>
      <c r="F55" s="213">
        <v>0.67900000000000005</v>
      </c>
      <c r="G55" s="213">
        <v>11.1</v>
      </c>
      <c r="H55" s="213">
        <v>-0.188</v>
      </c>
      <c r="I55" s="213"/>
      <c r="J55" s="213">
        <f>'What if'!F133</f>
        <v>0</v>
      </c>
    </row>
    <row r="56" spans="2:11">
      <c r="B56" s="224" t="str">
        <f>VLOOKUP("Hidden_Database_Electricity",Hidden_Translations!$B$11:$K$1184,Hidden_Translations!$C$8,FALSE)</f>
        <v>Electricity from country mix</v>
      </c>
      <c r="C56" s="199" t="str">
        <f>VLOOKUP("Hidden_Database_Electricity_Mix",Hidden_Translations!$B$11:$K$1185,Hidden_Translations!$C$8,FALSE)</f>
        <v>Electricity mix Europe</v>
      </c>
      <c r="D56" s="203">
        <v>1</v>
      </c>
      <c r="E56" s="203" t="s">
        <v>201</v>
      </c>
      <c r="F56" s="212">
        <v>0.41899999999999998</v>
      </c>
      <c r="G56" s="212">
        <v>10.303421</v>
      </c>
      <c r="H56" s="212">
        <v>0.129</v>
      </c>
      <c r="I56" s="212"/>
      <c r="J56" s="212">
        <f>'What if'!F117</f>
        <v>0</v>
      </c>
    </row>
    <row r="57" spans="2:11">
      <c r="B57" s="223" t="str">
        <f>VLOOKUP("Hidden_Database_Other",Hidden_Translations!$B$11:$K$1184,Hidden_Translations!$C$8,FALSE)</f>
        <v>Other energy carriers</v>
      </c>
      <c r="C57" s="68"/>
      <c r="D57" s="68"/>
      <c r="E57" s="68"/>
      <c r="F57" s="68"/>
      <c r="G57" s="68"/>
      <c r="H57" s="68"/>
      <c r="I57" s="68"/>
      <c r="J57" s="241"/>
      <c r="K57" s="357" t="s">
        <v>321</v>
      </c>
    </row>
    <row r="58" spans="2:11">
      <c r="B58" s="223"/>
      <c r="C58" s="31" t="str">
        <f>VLOOKUP("Hidden_Database_Natural_Gas",Hidden_Translations!$B$11:$K$1185,Hidden_Translations!$C$8,FALSE)</f>
        <v>Natural gas</v>
      </c>
      <c r="D58" s="220">
        <v>1</v>
      </c>
      <c r="E58" s="220" t="s">
        <v>197</v>
      </c>
      <c r="F58" s="213">
        <v>0.32900000000000001</v>
      </c>
      <c r="G58" s="213">
        <v>40.925306999999997</v>
      </c>
      <c r="H58" s="213">
        <v>0</v>
      </c>
      <c r="I58" s="213">
        <f>13.5*0.777</f>
        <v>10.4895</v>
      </c>
      <c r="J58" s="213">
        <f>'What if'!F122</f>
        <v>0</v>
      </c>
    </row>
    <row r="59" spans="2:11">
      <c r="B59" s="223"/>
      <c r="C59" s="31" t="str">
        <f>VLOOKUP("Hidden_Database_Diesel",Hidden_Translations!$B$11:$K$1185,Hidden_Translations!$C$8,FALSE)</f>
        <v>Diesel</v>
      </c>
      <c r="D59" s="220">
        <v>1</v>
      </c>
      <c r="E59" s="220" t="s">
        <v>181</v>
      </c>
      <c r="F59" s="213">
        <v>0.44397149000000002</v>
      </c>
      <c r="G59" s="225">
        <v>52.719065999999998</v>
      </c>
      <c r="H59" s="213">
        <v>0.10402995</v>
      </c>
      <c r="I59" s="213">
        <v>11.83</v>
      </c>
      <c r="J59" s="213">
        <f>'What if'!F124</f>
        <v>0</v>
      </c>
      <c r="K59" s="81"/>
    </row>
    <row r="60" spans="2:11">
      <c r="B60" s="223"/>
      <c r="C60" s="31" t="str">
        <f>VLOOKUP("Hidden_Database_Ethanol",Hidden_Translations!$B$11:$K$1185,Hidden_Translations!$C$8,FALSE)</f>
        <v>Bio ethanol from fermentation</v>
      </c>
      <c r="D60" s="220">
        <v>1</v>
      </c>
      <c r="E60" s="220" t="s">
        <v>181</v>
      </c>
      <c r="F60" s="213">
        <v>1.6047917</v>
      </c>
      <c r="G60" s="213">
        <v>60.701512999999998</v>
      </c>
      <c r="H60" s="213">
        <v>4.9807227000000003</v>
      </c>
      <c r="I60" s="213">
        <f>26.8*0.277</f>
        <v>7.4236000000000004</v>
      </c>
      <c r="J60" s="213">
        <f>'What if'!F125</f>
        <v>0</v>
      </c>
      <c r="K60" s="81"/>
    </row>
    <row r="61" spans="2:11">
      <c r="B61" s="226"/>
      <c r="C61" s="227" t="str">
        <f>VLOOKUP("Hidden_Database_Methane",Hidden_Translations!$B$11:$K$1185,Hidden_Translations!$C$8,FALSE)</f>
        <v>Bio methane 96%</v>
      </c>
      <c r="D61" s="228">
        <v>1</v>
      </c>
      <c r="E61" s="220" t="s">
        <v>197</v>
      </c>
      <c r="F61" s="213">
        <v>1.7965245999999999</v>
      </c>
      <c r="G61" s="213">
        <v>21.356048000000001</v>
      </c>
      <c r="H61" s="213">
        <v>0.76385482000000005</v>
      </c>
      <c r="I61" s="213">
        <v>10.02</v>
      </c>
      <c r="J61" s="213">
        <f>'What if'!F126</f>
        <v>0</v>
      </c>
    </row>
    <row r="62" spans="2:11">
      <c r="B62" s="226"/>
      <c r="C62" s="227" t="str">
        <f>VLOOKUP("Hidden_Database_Bio_Diesel",Hidden_Translations!$B$11:$K$1185,Hidden_Translations!$C$8,FALSE)</f>
        <v>Bio diesel</v>
      </c>
      <c r="D62" s="228">
        <v>1</v>
      </c>
      <c r="E62" s="228" t="s">
        <v>181</v>
      </c>
      <c r="F62" s="213">
        <v>3.0130932000000001</v>
      </c>
      <c r="G62" s="213">
        <v>66.618263999999996</v>
      </c>
      <c r="H62" s="213">
        <v>0.94539686000000001</v>
      </c>
      <c r="I62" s="213">
        <v>10.42</v>
      </c>
      <c r="J62" s="213">
        <f>'What if'!F127</f>
        <v>0</v>
      </c>
    </row>
    <row r="63" spans="2:11">
      <c r="B63" s="229"/>
      <c r="C63" s="227" t="str">
        <f>VLOOKUP("Hidden_Database_Heat",Hidden_Translations!$B$11:$K$1185,Hidden_Translations!$C$8,FALSE)</f>
        <v>Heat from small scale plant</v>
      </c>
      <c r="D63" s="228">
        <v>1</v>
      </c>
      <c r="E63" s="220" t="s">
        <v>201</v>
      </c>
      <c r="F63" s="230">
        <v>0.26100000000000001</v>
      </c>
      <c r="G63" s="230">
        <v>3.85</v>
      </c>
      <c r="H63" s="230">
        <v>1.0300000000000001E-3</v>
      </c>
      <c r="I63" s="213">
        <v>1</v>
      </c>
      <c r="J63" s="213">
        <f>'What if'!F128</f>
        <v>0</v>
      </c>
      <c r="K63" s="30"/>
    </row>
    <row r="64" spans="2:11">
      <c r="B64" s="231"/>
      <c r="C64" s="227" t="str">
        <f>VLOOKUP("Hidden_Database_District",Hidden_Translations!$B$11:$K$1185,Hidden_Translations!$C$8,FALSE)</f>
        <v>District or industrial heating</v>
      </c>
      <c r="D64" s="228">
        <v>1</v>
      </c>
      <c r="E64" s="220" t="s">
        <v>201</v>
      </c>
      <c r="F64" s="230">
        <v>0.154</v>
      </c>
      <c r="G64" s="230">
        <v>2.4700000000000002</v>
      </c>
      <c r="H64" s="230">
        <v>6.6499999999999997E-3</v>
      </c>
      <c r="I64" s="213">
        <v>1</v>
      </c>
      <c r="J64" s="213">
        <f>'What if'!F129</f>
        <v>0</v>
      </c>
      <c r="K64" s="30"/>
    </row>
    <row r="65" spans="2:10">
      <c r="B65" s="210" t="str">
        <f>VLOOKUP("Hidden_Database_Fuels",Hidden_Translations!$B$11:$K$1184,Hidden_Translations!$C$8,FALSE)</f>
        <v>Fuels for transport refrigeration</v>
      </c>
      <c r="C65" s="232" t="str">
        <f>""</f>
        <v/>
      </c>
      <c r="D65" s="233"/>
      <c r="E65" s="233"/>
      <c r="F65" s="234"/>
      <c r="G65" s="234"/>
      <c r="H65" s="234"/>
      <c r="I65" s="212"/>
      <c r="J65" s="211"/>
    </row>
    <row r="66" spans="2:10">
      <c r="B66" s="235"/>
      <c r="C66" s="199" t="str">
        <f>C59</f>
        <v>Diesel</v>
      </c>
      <c r="D66" s="233">
        <v>1</v>
      </c>
      <c r="E66" s="233" t="s">
        <v>181</v>
      </c>
      <c r="F66" s="212">
        <v>0.53800000000000003</v>
      </c>
      <c r="G66" s="212">
        <v>54</v>
      </c>
      <c r="H66" s="212">
        <v>0.129</v>
      </c>
      <c r="I66" s="212">
        <v>11.83</v>
      </c>
      <c r="J66" s="212">
        <f>'What if'!F123</f>
        <v>0</v>
      </c>
    </row>
    <row r="67" spans="2:10">
      <c r="B67" s="236" t="str">
        <f>VLOOKUP("Hidden_Database_Global",Hidden_Translations!$B$11:$K$1184,Hidden_Translations!$C$8,FALSE)</f>
        <v xml:space="preserve">Global transport </v>
      </c>
      <c r="C67" s="201" t="str">
        <f>""</f>
        <v/>
      </c>
      <c r="D67" s="237"/>
      <c r="E67" s="237"/>
      <c r="F67" s="238"/>
      <c r="G67" s="238"/>
      <c r="H67" s="238"/>
      <c r="I67" s="221"/>
      <c r="J67" s="221"/>
    </row>
    <row r="68" spans="2:10">
      <c r="B68" s="239"/>
      <c r="C68" s="31" t="str">
        <f>VLOOKUP("Hidden_Database_Cooling_1",Hidden_Translations!$B$11:$K$1185,Hidden_Translations!$C$8,FALSE)</f>
        <v>Freight aircraft with refrigerant - cooling</v>
      </c>
      <c r="D68" s="220">
        <v>1</v>
      </c>
      <c r="E68" s="220" t="str">
        <f>E12</f>
        <v>[tkm]</v>
      </c>
      <c r="F68" s="213">
        <v>1.1100000000000001</v>
      </c>
      <c r="G68" s="213">
        <v>16.2</v>
      </c>
      <c r="H68" s="213">
        <v>6.6699999999999995E-2</v>
      </c>
      <c r="I68" s="222"/>
      <c r="J68" s="222"/>
    </row>
    <row r="69" spans="2:10">
      <c r="B69" s="239"/>
      <c r="C69" s="31" t="str">
        <f>VLOOKUP("Hidden_Database_Cooling_2",Hidden_Translations!$B$11:$K$1185,Hidden_Translations!$C$8,FALSE)</f>
        <v>Train freight with refrigerant - cooling</v>
      </c>
      <c r="D69" s="220">
        <v>1</v>
      </c>
      <c r="E69" s="220" t="str">
        <f>E12</f>
        <v>[tkm]</v>
      </c>
      <c r="F69" s="213">
        <v>5.6399999999999999E-2</v>
      </c>
      <c r="G69" s="213">
        <v>0.755</v>
      </c>
      <c r="H69" s="213">
        <v>7.0299999999999998E-3</v>
      </c>
      <c r="I69" s="218"/>
      <c r="J69" s="222"/>
    </row>
    <row r="70" spans="2:10">
      <c r="B70" s="239"/>
      <c r="C70" s="31" t="str">
        <f>VLOOKUP("Hidden_Database_Cooling_3",Hidden_Translations!$B$11:$K$1185,Hidden_Translations!$C$8,FALSE)</f>
        <v>Transoceanic freight ship - cooling</v>
      </c>
      <c r="D70" s="220">
        <v>1</v>
      </c>
      <c r="E70" s="220" t="str">
        <f>E12</f>
        <v>[tkm]</v>
      </c>
      <c r="F70" s="213">
        <v>2.2100000000000002E-2</v>
      </c>
      <c r="G70" s="213">
        <v>0.318</v>
      </c>
      <c r="H70" s="213">
        <v>1.8E-3</v>
      </c>
      <c r="I70" s="218"/>
      <c r="J70" s="222"/>
    </row>
    <row r="71" spans="2:10">
      <c r="B71" s="240" t="str">
        <f>VLOOKUP("Hidden_Database_Refrigerants",Hidden_Translations!$B$11:$K$1184,Hidden_Translations!$C$8,FALSE)</f>
        <v>Refrigerants</v>
      </c>
      <c r="C71" s="232" t="str">
        <f>""</f>
        <v/>
      </c>
      <c r="D71" s="233"/>
      <c r="E71" s="233"/>
      <c r="F71" s="234"/>
      <c r="G71" s="234"/>
      <c r="H71" s="234"/>
      <c r="I71" s="212"/>
      <c r="J71" s="211"/>
    </row>
    <row r="72" spans="2:10">
      <c r="B72" s="235"/>
      <c r="C72" s="199" t="s">
        <v>69</v>
      </c>
      <c r="D72" s="233">
        <v>1</v>
      </c>
      <c r="E72" s="233" t="s">
        <v>181</v>
      </c>
      <c r="F72" s="212">
        <v>18.86</v>
      </c>
      <c r="G72" s="212"/>
      <c r="H72" s="212"/>
      <c r="I72" s="212"/>
      <c r="J72" s="212">
        <f>'What if'!F137</f>
        <v>0</v>
      </c>
    </row>
    <row r="73" spans="2:10">
      <c r="B73" s="235"/>
      <c r="C73" s="199" t="s">
        <v>68</v>
      </c>
      <c r="D73" s="233">
        <v>1</v>
      </c>
      <c r="E73" s="233" t="s">
        <v>181</v>
      </c>
      <c r="F73" s="212">
        <v>15.7</v>
      </c>
      <c r="G73" s="212">
        <v>113</v>
      </c>
      <c r="H73" s="212">
        <v>5.48</v>
      </c>
      <c r="I73" s="212"/>
      <c r="J73" s="212">
        <f>'What if'!F138</f>
        <v>0</v>
      </c>
    </row>
    <row r="74" spans="2:10">
      <c r="B74" s="235"/>
      <c r="C74" s="199" t="s">
        <v>67</v>
      </c>
      <c r="D74" s="233">
        <v>1</v>
      </c>
      <c r="E74" s="233" t="s">
        <v>181</v>
      </c>
      <c r="F74" s="212">
        <v>40.25</v>
      </c>
      <c r="G74" s="212"/>
      <c r="H74" s="212"/>
      <c r="I74" s="212"/>
      <c r="J74" s="212">
        <f>'What if'!F139</f>
        <v>0</v>
      </c>
    </row>
    <row r="75" spans="2:10">
      <c r="B75" s="235"/>
      <c r="C75" s="199" t="s">
        <v>66</v>
      </c>
      <c r="D75" s="233">
        <v>1</v>
      </c>
      <c r="E75" s="233" t="s">
        <v>181</v>
      </c>
      <c r="F75" s="212">
        <v>21.77</v>
      </c>
      <c r="G75" s="212"/>
      <c r="H75" s="212"/>
      <c r="I75" s="212"/>
      <c r="J75" s="212">
        <f>'What if'!F140</f>
        <v>0</v>
      </c>
    </row>
  </sheetData>
  <sheetProtection selectLockedCells="1" selectUnlockedCells="1"/>
  <mergeCells count="5">
    <mergeCell ref="B6:J6"/>
    <mergeCell ref="B7:J7"/>
    <mergeCell ref="E9:E10"/>
    <mergeCell ref="B9:B10"/>
    <mergeCell ref="D9:D10"/>
  </mergeCells>
  <pageMargins left="0.7" right="0.7" top="0.78740157499999996" bottom="0.78740157499999996" header="0.3" footer="0.3"/>
  <pageSetup paperSize="9" scale="48" orientation="portrait" r:id="rId1"/>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0" tint="-0.499984740745262"/>
  </sheetPr>
  <dimension ref="A2:FC208"/>
  <sheetViews>
    <sheetView zoomScaleNormal="100" workbookViewId="0"/>
  </sheetViews>
  <sheetFormatPr baseColWidth="10" defaultColWidth="9.140625" defaultRowHeight="15"/>
  <cols>
    <col min="1" max="1" width="3.7109375" style="92" customWidth="1"/>
    <col min="2" max="2" width="61.5703125" style="92" customWidth="1"/>
    <col min="3" max="3" width="29.7109375" style="92" customWidth="1"/>
    <col min="4" max="4" width="27" style="92" customWidth="1"/>
    <col min="5" max="5" width="17.7109375" style="92" customWidth="1"/>
    <col min="6" max="6" width="34.28515625" style="92" bestFit="1" customWidth="1"/>
    <col min="7" max="7" width="22.140625" style="92" customWidth="1"/>
    <col min="8" max="8" width="21.42578125" style="92" customWidth="1"/>
    <col min="9" max="9" width="14.140625" style="92" customWidth="1"/>
    <col min="10" max="10" width="16.140625" style="92" customWidth="1"/>
    <col min="11" max="11" width="21.5703125" style="92" customWidth="1"/>
    <col min="12" max="12" width="13.7109375" style="92" customWidth="1"/>
    <col min="13" max="13" width="20.140625" style="92" customWidth="1"/>
    <col min="14" max="14" width="24.85546875" style="92" customWidth="1"/>
    <col min="15" max="15" width="3.7109375" style="92" customWidth="1"/>
    <col min="16" max="16" width="64.7109375" style="92" customWidth="1"/>
    <col min="17" max="17" width="49.28515625" style="92" customWidth="1"/>
    <col min="18" max="18" width="17.7109375" style="92" customWidth="1"/>
    <col min="19" max="20" width="13.85546875" style="92" customWidth="1"/>
    <col min="21" max="21" width="14.85546875" style="92" customWidth="1"/>
    <col min="22" max="22" width="23.140625" style="92" customWidth="1"/>
    <col min="23" max="23" width="24.5703125" style="92" customWidth="1"/>
    <col min="24" max="24" width="21.7109375" style="92" customWidth="1"/>
    <col min="25" max="25" width="21.140625" style="92" customWidth="1"/>
    <col min="26" max="26" width="13" style="92" customWidth="1"/>
    <col min="27" max="27" width="22" style="92" customWidth="1"/>
    <col min="28" max="28" width="16" style="92" customWidth="1"/>
    <col min="29" max="29" width="3.7109375" style="92" customWidth="1"/>
    <col min="30" max="30" width="48" style="92" customWidth="1"/>
    <col min="31" max="31" width="28.28515625" style="92" customWidth="1"/>
    <col min="32" max="32" width="27" style="92" customWidth="1"/>
    <col min="33" max="33" width="17.7109375" style="92" customWidth="1"/>
    <col min="34" max="34" width="12.42578125" style="92" customWidth="1"/>
    <col min="35" max="35" width="22.28515625" style="92" customWidth="1"/>
    <col min="36" max="36" width="17.7109375" style="92" customWidth="1"/>
    <col min="37" max="37" width="16.5703125" style="92" customWidth="1"/>
    <col min="38" max="38" width="18.42578125" style="92" customWidth="1"/>
    <col min="39" max="39" width="19.28515625" style="92" customWidth="1"/>
    <col min="40" max="40" width="12.5703125" style="92" customWidth="1"/>
    <col min="41" max="41" width="22.28515625" style="92" customWidth="1"/>
    <col min="42" max="42" width="15.140625" style="92" customWidth="1"/>
    <col min="43" max="43" width="3.7109375" style="92" customWidth="1"/>
    <col min="44" max="44" width="52.42578125" style="93" customWidth="1"/>
    <col min="45" max="45" width="35.140625" style="92" customWidth="1"/>
    <col min="46" max="46" width="23.5703125" style="92" customWidth="1"/>
    <col min="47" max="48" width="14" style="92" customWidth="1"/>
    <col min="49" max="49" width="17.140625" style="92" customWidth="1"/>
    <col min="50" max="50" width="14.140625" style="92" customWidth="1"/>
    <col min="51" max="51" width="15.42578125" style="92" customWidth="1"/>
    <col min="52" max="52" width="15.28515625" style="92" customWidth="1"/>
    <col min="53" max="53" width="22" style="92" customWidth="1"/>
    <col min="54" max="54" width="15.140625" style="92" customWidth="1"/>
    <col min="55" max="55" width="23.7109375" style="92" customWidth="1"/>
    <col min="56" max="56" width="3.7109375" style="92" customWidth="1"/>
    <col min="57" max="57" width="56.7109375" style="92" customWidth="1"/>
    <col min="58" max="58" width="42.85546875" style="92" customWidth="1"/>
    <col min="59" max="59" width="13.85546875" style="92" customWidth="1"/>
    <col min="60" max="60" width="13.7109375" style="92" customWidth="1"/>
    <col min="61" max="66" width="20.28515625" style="92" customWidth="1"/>
    <col min="67" max="67" width="3.7109375" style="92" customWidth="1"/>
    <col min="68" max="68" width="53.28515625" style="92" customWidth="1"/>
    <col min="69" max="69" width="45.140625" style="92" customWidth="1"/>
    <col min="70" max="70" width="23.5703125" style="92" customWidth="1"/>
    <col min="71" max="72" width="17.7109375" style="92" customWidth="1"/>
    <col min="73" max="73" width="17.140625" style="92" customWidth="1"/>
    <col min="74" max="74" width="14.5703125" style="92" customWidth="1"/>
    <col min="75" max="75" width="21.140625" style="92" customWidth="1"/>
    <col min="76" max="76" width="21.7109375" style="92" customWidth="1"/>
    <col min="77" max="77" width="21.5703125" style="92" customWidth="1"/>
    <col min="78" max="78" width="12.5703125" style="92" customWidth="1"/>
    <col min="79" max="79" width="22" style="92" customWidth="1"/>
    <col min="80" max="80" width="3.7109375" style="92" customWidth="1"/>
    <col min="81" max="81" width="61.5703125" style="92" customWidth="1"/>
    <col min="82" max="82" width="24" style="93" customWidth="1"/>
    <col min="83" max="83" width="27" style="92" customWidth="1"/>
    <col min="84" max="84" width="17.7109375" style="92" customWidth="1"/>
    <col min="85" max="85" width="12.42578125" style="92" customWidth="1"/>
    <col min="86" max="86" width="19.42578125" style="92" customWidth="1"/>
    <col min="87" max="87" width="13.5703125" style="92" customWidth="1"/>
    <col min="88" max="88" width="16.5703125" style="92" customWidth="1"/>
    <col min="89" max="89" width="15.85546875" style="92" customWidth="1"/>
    <col min="90" max="90" width="21.140625" style="92" customWidth="1"/>
    <col min="91" max="91" width="16.7109375" style="92" customWidth="1"/>
    <col min="92" max="92" width="25.140625" style="92" customWidth="1"/>
    <col min="93" max="93" width="15.140625" style="92" customWidth="1"/>
    <col min="94" max="94" width="3.7109375" style="92" customWidth="1"/>
    <col min="95" max="95" width="53.7109375" style="92" customWidth="1"/>
    <col min="96" max="96" width="52.28515625" style="93" customWidth="1"/>
    <col min="97" max="97" width="23.5703125" style="92" customWidth="1"/>
    <col min="98" max="99" width="17.7109375" style="92" customWidth="1"/>
    <col min="100" max="100" width="15.85546875" style="92" customWidth="1"/>
    <col min="101" max="101" width="14.85546875" style="92" customWidth="1"/>
    <col min="102" max="102" width="19.85546875" style="92" customWidth="1"/>
    <col min="103" max="103" width="14.7109375" style="92" customWidth="1"/>
    <col min="104" max="104" width="14.140625" style="92" customWidth="1"/>
    <col min="105" max="105" width="22.85546875" style="92" customWidth="1"/>
    <col min="106" max="106" width="26.28515625" style="92" customWidth="1"/>
    <col min="107" max="107" width="16" style="92" customWidth="1"/>
    <col min="108" max="108" width="3.7109375" style="92" customWidth="1"/>
    <col min="109" max="109" width="61.5703125" style="92" customWidth="1"/>
    <col min="110" max="110" width="37.7109375" style="93" customWidth="1"/>
    <col min="111" max="111" width="27" style="92" customWidth="1"/>
    <col min="112" max="112" width="17.7109375" style="92" customWidth="1"/>
    <col min="113" max="113" width="12.42578125" style="92" customWidth="1"/>
    <col min="114" max="114" width="20.7109375" style="92" customWidth="1"/>
    <col min="115" max="115" width="26.85546875" style="92" bestFit="1" customWidth="1"/>
    <col min="116" max="116" width="11.28515625" style="92" bestFit="1" customWidth="1"/>
    <col min="117" max="117" width="12.85546875" style="92" bestFit="1" customWidth="1"/>
    <col min="118" max="121" width="16" style="92" bestFit="1" customWidth="1"/>
    <col min="122" max="122" width="3.7109375" style="92" customWidth="1"/>
    <col min="123" max="123" width="85.28515625" style="92" bestFit="1" customWidth="1"/>
    <col min="124" max="124" width="28.5703125" style="92" customWidth="1"/>
    <col min="125" max="125" width="23.7109375" style="92" customWidth="1"/>
    <col min="126" max="126" width="14.140625" style="92" customWidth="1"/>
    <col min="127" max="127" width="10" style="92" customWidth="1"/>
    <col min="128" max="128" width="17.28515625" style="92" customWidth="1"/>
    <col min="129" max="129" width="13.140625" style="92" customWidth="1"/>
    <col min="130" max="130" width="14.7109375" style="92" customWidth="1"/>
    <col min="131" max="131" width="20.42578125" style="92" customWidth="1"/>
    <col min="132" max="132" width="21.5703125" style="92" bestFit="1" customWidth="1"/>
    <col min="133" max="133" width="23.7109375" style="92" customWidth="1"/>
    <col min="134" max="134" width="16.7109375" style="92" bestFit="1" customWidth="1"/>
    <col min="135" max="135" width="18.140625" style="92" customWidth="1"/>
    <col min="136" max="136" width="3.7109375" style="92" customWidth="1"/>
    <col min="137" max="137" width="12.28515625" style="92" customWidth="1"/>
    <col min="138" max="138" width="10.28515625" style="92" customWidth="1"/>
    <col min="139" max="144" width="9.140625" style="92"/>
    <col min="145" max="145" width="12.85546875" style="92" bestFit="1" customWidth="1"/>
    <col min="146" max="146" width="14.28515625" style="92" bestFit="1" customWidth="1"/>
    <col min="147" max="147" width="13.85546875" style="92" customWidth="1"/>
    <col min="148" max="149" width="11" style="92" customWidth="1"/>
    <col min="150" max="150" width="10.7109375" style="92" bestFit="1" customWidth="1"/>
    <col min="151" max="151" width="12.28515625" style="92" bestFit="1" customWidth="1"/>
    <col min="152" max="16384" width="9.140625" style="92"/>
  </cols>
  <sheetData>
    <row r="2" spans="2:159" s="3" customFormat="1" ht="18.75">
      <c r="B2" s="1" t="str">
        <f>VLOOKUP("General_Header",Hidden_Translations!$B$11:$J$1184,Hidden_Translations!$C$8,FALSE)</f>
        <v>Improving Cold Chain Energy Efficiency (ICCEE project)</v>
      </c>
      <c r="C2" s="2"/>
      <c r="D2" s="2"/>
      <c r="E2" s="2"/>
      <c r="F2" s="2"/>
      <c r="G2" s="2"/>
      <c r="H2" s="67"/>
      <c r="I2" s="67"/>
      <c r="J2" s="6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170"/>
      <c r="CR2" s="170"/>
      <c r="CS2" s="170"/>
      <c r="CT2" s="170"/>
      <c r="CU2" s="170"/>
      <c r="CV2" s="170"/>
      <c r="CW2" s="170"/>
      <c r="CX2" s="170"/>
      <c r="CY2" s="170"/>
      <c r="CZ2" s="170"/>
      <c r="DA2" s="170"/>
      <c r="DB2" s="170"/>
      <c r="DC2" s="170"/>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row>
    <row r="3" spans="2:159">
      <c r="BO3" s="93"/>
      <c r="BP3" s="93"/>
      <c r="BQ3" s="93"/>
      <c r="CQ3" s="93"/>
      <c r="CS3" s="93"/>
      <c r="CT3" s="93"/>
      <c r="CU3" s="93"/>
      <c r="CV3" s="93"/>
      <c r="CW3" s="93"/>
      <c r="CX3" s="93"/>
      <c r="CY3" s="93"/>
      <c r="CZ3" s="93"/>
      <c r="DA3" s="93"/>
      <c r="DB3" s="93"/>
      <c r="DC3" s="93"/>
    </row>
    <row r="4" spans="2:159" s="135" customFormat="1" ht="18.75" customHeight="1">
      <c r="B4" s="4" t="str">
        <f>Input!B50</f>
        <v>#2: Single drop transport (supplier to producer)</v>
      </c>
      <c r="C4" s="4"/>
      <c r="D4" s="4"/>
      <c r="E4" s="4"/>
      <c r="F4" s="4"/>
      <c r="G4" s="4"/>
      <c r="H4" s="4"/>
      <c r="I4" s="4"/>
      <c r="J4" s="4"/>
      <c r="K4" s="4"/>
      <c r="L4" s="4"/>
      <c r="M4" s="4"/>
      <c r="N4" s="4"/>
      <c r="O4" s="136"/>
      <c r="P4" s="4" t="str">
        <f>Input!B77</f>
        <v>#3: Producer</v>
      </c>
      <c r="Q4" s="4"/>
      <c r="R4" s="4"/>
      <c r="S4" s="4"/>
      <c r="T4" s="4"/>
      <c r="U4" s="4"/>
      <c r="V4" s="4"/>
      <c r="W4" s="4"/>
      <c r="X4" s="4"/>
      <c r="Y4" s="4"/>
      <c r="Z4" s="4"/>
      <c r="AA4" s="4"/>
      <c r="AB4" s="4"/>
      <c r="AC4" s="93"/>
      <c r="AD4" s="4" t="str">
        <f>Input!B119</f>
        <v>#3a: Single drop transport (producer to docks/airport)</v>
      </c>
      <c r="AE4" s="4"/>
      <c r="AF4" s="4"/>
      <c r="AG4" s="4"/>
      <c r="AH4" s="4"/>
      <c r="AI4" s="4"/>
      <c r="AJ4" s="4"/>
      <c r="AK4" s="4"/>
      <c r="AL4" s="4"/>
      <c r="AM4" s="4"/>
      <c r="AN4" s="4"/>
      <c r="AO4" s="4"/>
      <c r="AP4" s="4"/>
      <c r="AR4" s="4" t="str">
        <f>Input!B139</f>
        <v>#3b: Storage at docks/airport at origin</v>
      </c>
      <c r="AS4" s="4"/>
      <c r="AT4" s="4"/>
      <c r="AU4" s="4"/>
      <c r="AV4" s="4"/>
      <c r="AW4" s="4"/>
      <c r="AX4" s="4"/>
      <c r="AY4" s="4"/>
      <c r="AZ4" s="4"/>
      <c r="BA4" s="4"/>
      <c r="BB4" s="4"/>
      <c r="BC4" s="4"/>
      <c r="BE4" s="4" t="str">
        <f>Input!B156</f>
        <v>#3c: Single drop transport (origin to destination)</v>
      </c>
      <c r="BF4" s="4"/>
      <c r="BG4" s="4"/>
      <c r="BH4" s="4"/>
      <c r="BI4" s="4"/>
      <c r="BJ4" s="4"/>
      <c r="BK4" s="4"/>
      <c r="BL4" s="4"/>
      <c r="BM4" s="4"/>
      <c r="BN4" s="4"/>
      <c r="BP4" s="4" t="str">
        <f>Input!B167</f>
        <v>#3d: Storage at docks/airport at destination</v>
      </c>
      <c r="BQ4" s="4"/>
      <c r="BR4" s="4"/>
      <c r="BS4" s="4"/>
      <c r="BT4" s="4"/>
      <c r="BU4" s="4"/>
      <c r="BV4" s="4"/>
      <c r="BW4" s="4"/>
      <c r="BX4" s="4"/>
      <c r="BY4" s="4"/>
      <c r="BZ4" s="4"/>
      <c r="CA4" s="4"/>
      <c r="CC4" s="4" t="str">
        <f>Input!B184</f>
        <v>#4: Single drop transport (to distribution center)</v>
      </c>
      <c r="CD4" s="4"/>
      <c r="CE4" s="4"/>
      <c r="CF4" s="4"/>
      <c r="CG4" s="4"/>
      <c r="CH4" s="4"/>
      <c r="CI4" s="4"/>
      <c r="CJ4" s="4"/>
      <c r="CK4" s="4"/>
      <c r="CL4" s="4"/>
      <c r="CM4" s="4"/>
      <c r="CN4" s="4"/>
      <c r="CO4" s="4"/>
      <c r="CQ4" s="4" t="str">
        <f>Input!B204</f>
        <v>#5: Distribution center</v>
      </c>
      <c r="CR4" s="4"/>
      <c r="CS4" s="4"/>
      <c r="CT4" s="4"/>
      <c r="CU4" s="4"/>
      <c r="CV4" s="4"/>
      <c r="CW4" s="4"/>
      <c r="CX4" s="4"/>
      <c r="CY4" s="4"/>
      <c r="CZ4" s="4"/>
      <c r="DA4" s="4"/>
      <c r="DB4" s="4"/>
      <c r="DC4" s="4"/>
      <c r="DE4" s="4" t="str">
        <f>Input!B232</f>
        <v>#6: Multi drop transport (distribution center to retailer)</v>
      </c>
      <c r="DF4" s="4"/>
      <c r="DG4" s="4"/>
      <c r="DH4" s="4"/>
      <c r="DI4" s="4"/>
      <c r="DJ4" s="4"/>
      <c r="DK4" s="4"/>
      <c r="DL4" s="4"/>
      <c r="DM4" s="4"/>
      <c r="DN4" s="4"/>
      <c r="DO4" s="4"/>
      <c r="DP4" s="4"/>
      <c r="DQ4" s="4"/>
      <c r="DS4" s="4" t="str">
        <f>Input!B252</f>
        <v>#7: Retailer</v>
      </c>
      <c r="DT4" s="4"/>
      <c r="DU4" s="4"/>
      <c r="DV4" s="4"/>
      <c r="DW4" s="4"/>
      <c r="DX4" s="4"/>
      <c r="DY4" s="4"/>
      <c r="DZ4" s="4"/>
      <c r="EA4" s="4"/>
      <c r="EB4" s="4"/>
      <c r="EC4" s="4"/>
      <c r="ED4" s="4"/>
      <c r="EE4" s="4"/>
      <c r="EG4" s="4" t="s">
        <v>295</v>
      </c>
      <c r="EH4" s="4"/>
      <c r="EI4" s="4"/>
      <c r="EJ4" s="4"/>
      <c r="EK4" s="4"/>
      <c r="EL4" s="4"/>
      <c r="EM4" s="4"/>
      <c r="EN4" s="4"/>
      <c r="EO4" s="4"/>
      <c r="EP4" s="4"/>
      <c r="EQ4" s="4"/>
      <c r="ER4" s="4"/>
      <c r="ES4" s="4"/>
    </row>
    <row r="5" spans="2:159" s="93" customFormat="1" ht="15" customHeight="1">
      <c r="B5" s="131" t="s">
        <v>186</v>
      </c>
      <c r="C5" s="131"/>
      <c r="D5" s="131"/>
      <c r="E5" s="131"/>
      <c r="F5" s="131"/>
      <c r="G5" s="131"/>
      <c r="H5" s="131"/>
      <c r="I5" s="131"/>
      <c r="J5" s="131"/>
      <c r="K5" s="131"/>
      <c r="L5" s="131"/>
      <c r="M5" s="131"/>
      <c r="P5" s="132"/>
      <c r="Q5" s="132"/>
      <c r="R5" s="92"/>
      <c r="S5" s="132"/>
      <c r="T5" s="132"/>
      <c r="U5" s="132"/>
      <c r="V5" s="132"/>
      <c r="W5" s="132"/>
      <c r="X5" s="92"/>
      <c r="Y5" s="132"/>
      <c r="Z5" s="132"/>
      <c r="AA5" s="132"/>
      <c r="AD5" s="132"/>
      <c r="AE5" s="132"/>
      <c r="AF5" s="132"/>
      <c r="AG5" s="132"/>
      <c r="AH5" s="132"/>
      <c r="AI5" s="132"/>
      <c r="AJ5" s="132"/>
      <c r="AK5" s="132"/>
      <c r="AL5" s="132"/>
      <c r="AM5" s="132"/>
      <c r="AN5" s="132"/>
      <c r="AO5" s="132"/>
      <c r="AR5" s="132"/>
      <c r="AS5" s="132"/>
      <c r="AT5" s="132"/>
      <c r="AU5" s="132"/>
      <c r="AV5" s="132"/>
      <c r="AW5" s="132"/>
      <c r="AX5" s="132"/>
      <c r="AY5" s="132"/>
      <c r="AZ5" s="132"/>
      <c r="BA5" s="132"/>
      <c r="BB5" s="132"/>
      <c r="BC5" s="132"/>
      <c r="BE5" s="132"/>
      <c r="BF5" s="132"/>
      <c r="BG5" s="132"/>
      <c r="BH5" s="132"/>
      <c r="BI5" s="132"/>
      <c r="BJ5" s="132"/>
      <c r="BK5" s="132"/>
      <c r="BL5" s="132"/>
      <c r="BM5" s="132"/>
      <c r="BN5" s="132"/>
      <c r="BP5" s="132"/>
      <c r="BQ5" s="132"/>
      <c r="BR5" s="132"/>
      <c r="BS5" s="132"/>
      <c r="BT5" s="132"/>
      <c r="BU5" s="132"/>
      <c r="BV5" s="132"/>
      <c r="BW5" s="132"/>
      <c r="BX5" s="132"/>
      <c r="BY5" s="132"/>
      <c r="BZ5" s="132"/>
      <c r="CA5" s="132"/>
      <c r="CC5" s="132"/>
      <c r="CD5" s="132"/>
      <c r="CE5" s="132"/>
      <c r="CF5" s="132"/>
      <c r="CG5" s="132"/>
      <c r="CH5" s="132"/>
      <c r="CI5" s="132"/>
      <c r="CJ5" s="132"/>
      <c r="CK5" s="132"/>
      <c r="CL5" s="132"/>
      <c r="CM5" s="132"/>
      <c r="CN5" s="132"/>
      <c r="CQ5" s="132"/>
      <c r="CR5" s="132"/>
      <c r="CS5" s="132"/>
      <c r="CT5" s="132"/>
      <c r="CU5" s="132"/>
      <c r="CV5" s="132"/>
      <c r="CW5" s="132"/>
      <c r="CX5" s="132"/>
      <c r="CY5" s="132"/>
      <c r="CZ5" s="132"/>
      <c r="DA5" s="132"/>
      <c r="DB5" s="132"/>
      <c r="DE5" s="132"/>
      <c r="DF5" s="132"/>
      <c r="DG5" s="132"/>
      <c r="DH5" s="132"/>
      <c r="DI5" s="132"/>
      <c r="DJ5" s="132"/>
      <c r="DK5" s="132"/>
      <c r="DL5" s="132"/>
      <c r="DM5" s="132"/>
      <c r="DN5" s="132"/>
      <c r="DO5" s="132"/>
      <c r="DP5" s="132"/>
      <c r="DS5" s="132"/>
      <c r="DT5" s="132"/>
      <c r="DU5" s="132"/>
      <c r="DV5" s="132"/>
      <c r="DW5" s="132"/>
      <c r="DX5" s="132"/>
      <c r="DY5" s="132"/>
      <c r="DZ5" s="132"/>
      <c r="EA5" s="132"/>
      <c r="EB5" s="132"/>
      <c r="EC5" s="132"/>
      <c r="ED5" s="132"/>
    </row>
    <row r="6" spans="2:159" s="93" customFormat="1" ht="15" customHeight="1">
      <c r="B6" s="69" t="str">
        <f>VLOOKUP("Hidden_Calculation_Header_Transport",Hidden_Translations!$B$11:$J$1184,Hidden_Translations!$C$8,FALSE)</f>
        <v>General data: Transport</v>
      </c>
      <c r="C6" s="70"/>
      <c r="D6" s="70"/>
      <c r="E6" s="70"/>
      <c r="F6" s="70"/>
      <c r="G6" s="70"/>
      <c r="H6" s="70"/>
      <c r="I6" s="70"/>
      <c r="J6" s="70"/>
      <c r="K6" s="69"/>
      <c r="L6" s="70"/>
      <c r="M6" s="70"/>
      <c r="N6" s="70"/>
      <c r="P6" s="69" t="str">
        <f>B6</f>
        <v>General data: Transport</v>
      </c>
      <c r="Q6" s="70"/>
      <c r="R6" s="70"/>
      <c r="S6" s="70"/>
      <c r="T6" s="70"/>
      <c r="U6" s="70"/>
      <c r="V6" s="70"/>
      <c r="W6" s="70"/>
      <c r="X6" s="70"/>
      <c r="Y6" s="70"/>
      <c r="Z6" s="69"/>
      <c r="AA6" s="70"/>
      <c r="AB6" s="70"/>
      <c r="AD6" s="69" t="str">
        <f>B6</f>
        <v>General data: Transport</v>
      </c>
      <c r="AE6" s="70"/>
      <c r="AF6" s="70"/>
      <c r="AG6" s="70"/>
      <c r="AH6" s="70"/>
      <c r="AI6" s="70"/>
      <c r="AJ6" s="70"/>
      <c r="AK6" s="70"/>
      <c r="AL6" s="70"/>
      <c r="AM6" s="69"/>
      <c r="AN6" s="70"/>
      <c r="AO6" s="70"/>
      <c r="AP6" s="70"/>
      <c r="AR6" s="69" t="str">
        <f>B6</f>
        <v>General data: Transport</v>
      </c>
      <c r="AS6" s="70"/>
      <c r="AT6" s="70"/>
      <c r="AU6" s="70"/>
      <c r="AV6" s="70"/>
      <c r="AW6" s="70"/>
      <c r="AX6" s="70"/>
      <c r="AY6" s="70"/>
      <c r="AZ6" s="70"/>
      <c r="BA6" s="69"/>
      <c r="BB6" s="70"/>
      <c r="BC6" s="70"/>
      <c r="BE6" s="69" t="str">
        <f>B6</f>
        <v>General data: Transport</v>
      </c>
      <c r="BF6" s="70"/>
      <c r="BG6" s="70"/>
      <c r="BH6" s="70"/>
      <c r="BI6" s="70"/>
      <c r="BJ6" s="70"/>
      <c r="BK6" s="70"/>
      <c r="BL6" s="70"/>
      <c r="BM6" s="70"/>
      <c r="BN6" s="69"/>
      <c r="BO6" s="92"/>
      <c r="BP6" s="69" t="str">
        <f>B6</f>
        <v>General data: Transport</v>
      </c>
      <c r="BQ6" s="70"/>
      <c r="BR6" s="70"/>
      <c r="BS6" s="70"/>
      <c r="BT6" s="70"/>
      <c r="BU6" s="70"/>
      <c r="BV6" s="70"/>
      <c r="BW6" s="70"/>
      <c r="BX6" s="70"/>
      <c r="BY6" s="70"/>
      <c r="BZ6" s="70"/>
      <c r="CA6" s="70"/>
      <c r="CB6" s="92"/>
      <c r="CC6" s="69" t="str">
        <f>B6</f>
        <v>General data: Transport</v>
      </c>
      <c r="CD6" s="70"/>
      <c r="CE6" s="70"/>
      <c r="CF6" s="70"/>
      <c r="CG6" s="70"/>
      <c r="CH6" s="70"/>
      <c r="CI6" s="70"/>
      <c r="CJ6" s="70"/>
      <c r="CK6" s="70"/>
      <c r="CL6" s="70"/>
      <c r="CM6" s="70"/>
      <c r="CN6" s="70"/>
      <c r="CO6" s="70"/>
      <c r="CQ6" s="69" t="str">
        <f>B6</f>
        <v>General data: Transport</v>
      </c>
      <c r="CR6" s="70"/>
      <c r="CS6" s="70"/>
      <c r="CT6" s="70"/>
      <c r="CU6" s="70"/>
      <c r="CV6" s="70"/>
      <c r="CW6" s="70"/>
      <c r="CX6" s="70"/>
      <c r="CY6" s="70"/>
      <c r="CZ6" s="70"/>
      <c r="DA6" s="70"/>
      <c r="DB6" s="70"/>
      <c r="DC6" s="70"/>
      <c r="DD6" s="92"/>
      <c r="DE6" s="69" t="str">
        <f>B6</f>
        <v>General data: Transport</v>
      </c>
      <c r="DF6" s="70"/>
      <c r="DG6" s="70"/>
      <c r="DH6" s="70"/>
      <c r="DI6" s="70"/>
      <c r="DJ6" s="70"/>
      <c r="DK6" s="70"/>
      <c r="DL6" s="70"/>
      <c r="DM6" s="70"/>
      <c r="DN6" s="70"/>
      <c r="DO6" s="70"/>
      <c r="DP6" s="70"/>
      <c r="DQ6" s="70"/>
      <c r="DS6" s="69" t="str">
        <f>B6</f>
        <v>General data: Transport</v>
      </c>
      <c r="DT6" s="70"/>
      <c r="DU6" s="70"/>
      <c r="DV6" s="70"/>
      <c r="DW6" s="70"/>
      <c r="DX6" s="70"/>
      <c r="DY6" s="70"/>
      <c r="DZ6" s="70"/>
      <c r="EA6" s="70"/>
      <c r="EB6" s="70"/>
      <c r="EC6" s="70"/>
      <c r="ED6" s="70"/>
      <c r="EE6" s="70"/>
      <c r="EF6" s="92"/>
    </row>
    <row r="7" spans="2:159">
      <c r="B7" s="90" t="str">
        <f>Input!B58</f>
        <v>Is refrigeration provided by auxiliary powered units in transport vehicles?</v>
      </c>
      <c r="C7" s="309">
        <f>+Input!F58</f>
        <v>0</v>
      </c>
      <c r="D7" s="143" t="str">
        <f>VLOOKUP("Units_Selection",Hidden_Translations!$B$11:$J$1184,Hidden_Translations!$C$8,FALSE)</f>
        <v>[Selection]</v>
      </c>
      <c r="E7" s="90"/>
      <c r="F7" s="90"/>
      <c r="G7" s="90"/>
      <c r="H7" s="90"/>
      <c r="I7" s="90"/>
      <c r="J7" s="90"/>
      <c r="K7" s="90"/>
      <c r="L7" s="90"/>
      <c r="M7" s="90"/>
      <c r="N7" s="90"/>
      <c r="O7" s="93"/>
      <c r="AB7" s="93"/>
      <c r="AC7" s="93"/>
      <c r="AD7" s="90" t="str">
        <f>B7</f>
        <v>Is refrigeration provided by auxiliary powered units in transport vehicles?</v>
      </c>
      <c r="AE7" s="309">
        <f>+Input!F123</f>
        <v>0</v>
      </c>
      <c r="AF7" s="143" t="str">
        <f>D7</f>
        <v>[Selection]</v>
      </c>
      <c r="AG7" s="90"/>
      <c r="AH7" s="90"/>
      <c r="AI7" s="90"/>
      <c r="AJ7" s="90"/>
      <c r="AK7" s="90"/>
      <c r="AL7" s="90"/>
      <c r="AM7" s="90"/>
      <c r="AN7" s="90"/>
      <c r="AO7" s="90"/>
      <c r="AP7" s="90"/>
      <c r="AS7" s="93"/>
      <c r="AT7" s="93"/>
      <c r="AU7" s="93"/>
      <c r="AV7" s="93"/>
      <c r="AW7" s="93"/>
      <c r="AX7" s="93"/>
      <c r="AY7" s="93"/>
      <c r="AZ7" s="93"/>
      <c r="BA7" s="93"/>
      <c r="BB7" s="93"/>
      <c r="BC7" s="93"/>
      <c r="BD7" s="93"/>
      <c r="BH7" s="93"/>
      <c r="BI7" s="93"/>
      <c r="BJ7" s="93"/>
      <c r="BK7" s="93"/>
      <c r="BL7" s="93"/>
      <c r="BM7" s="93"/>
      <c r="BP7" s="93"/>
      <c r="BQ7" s="93"/>
      <c r="BR7" s="93"/>
      <c r="BS7" s="93"/>
      <c r="BT7" s="93"/>
      <c r="BU7" s="93"/>
      <c r="BV7" s="93"/>
      <c r="BW7" s="93"/>
      <c r="BX7" s="93"/>
      <c r="BY7" s="93"/>
      <c r="BZ7" s="93"/>
      <c r="CA7" s="93"/>
      <c r="CC7" s="90" t="str">
        <f>B7</f>
        <v>Is refrigeration provided by auxiliary powered units in transport vehicles?</v>
      </c>
      <c r="CD7" s="309">
        <f>+Input!F188</f>
        <v>0</v>
      </c>
      <c r="CE7" s="143" t="str">
        <f>D7</f>
        <v>[Selection]</v>
      </c>
      <c r="CF7" s="90"/>
      <c r="CG7" s="90"/>
      <c r="CH7" s="90"/>
      <c r="CI7" s="90"/>
      <c r="CJ7" s="90"/>
      <c r="CK7" s="90"/>
      <c r="CL7" s="90"/>
      <c r="CM7" s="90"/>
      <c r="CN7" s="90"/>
      <c r="CO7" s="90"/>
      <c r="CQ7" s="93"/>
      <c r="CS7" s="93"/>
      <c r="CT7" s="93"/>
      <c r="CU7" s="93"/>
      <c r="CV7" s="93"/>
      <c r="CW7" s="93"/>
      <c r="CX7" s="93"/>
      <c r="CY7" s="93"/>
      <c r="CZ7" s="93"/>
      <c r="DA7" s="93"/>
      <c r="DB7" s="93"/>
      <c r="DC7" s="93"/>
      <c r="DE7" s="90" t="str">
        <f>B7</f>
        <v>Is refrigeration provided by auxiliary powered units in transport vehicles?</v>
      </c>
      <c r="DF7" s="309">
        <f>+Input!F236</f>
        <v>0</v>
      </c>
      <c r="DG7" s="178" t="str">
        <f>D7</f>
        <v>[Selection]</v>
      </c>
      <c r="DH7" s="90"/>
      <c r="DI7" s="90"/>
      <c r="DJ7" s="90"/>
      <c r="DK7" s="90"/>
      <c r="DL7" s="90"/>
      <c r="DM7" s="90"/>
      <c r="DN7" s="90"/>
      <c r="DO7" s="90"/>
      <c r="DP7" s="90"/>
      <c r="DQ7" s="90"/>
      <c r="DS7" s="93"/>
      <c r="DT7" s="93"/>
      <c r="DU7" s="93"/>
      <c r="DV7" s="93"/>
      <c r="DW7" s="93"/>
      <c r="DX7" s="93"/>
      <c r="DY7" s="93"/>
      <c r="DZ7" s="93"/>
      <c r="EA7" s="93"/>
      <c r="EB7" s="93"/>
      <c r="EC7" s="93"/>
      <c r="ED7" s="93"/>
      <c r="EE7" s="93"/>
    </row>
    <row r="8" spans="2:159">
      <c r="B8" s="143" t="str">
        <f>Input!B64</f>
        <v>Amount of transported raw material</v>
      </c>
      <c r="C8" s="338">
        <f>SUM(Input!C64:G64)</f>
        <v>0</v>
      </c>
      <c r="D8" s="143" t="str">
        <f>VLOOKUP("Units_kg",Hidden_Translations!$B$11:$J$1184,Hidden_Translations!$C$8,FALSE)</f>
        <v>[kg]</v>
      </c>
      <c r="E8" s="143"/>
      <c r="F8" s="143"/>
      <c r="G8" s="143"/>
      <c r="H8" s="143"/>
      <c r="I8" s="143"/>
      <c r="J8" s="143"/>
      <c r="K8" s="143"/>
      <c r="L8" s="143"/>
      <c r="M8" s="143"/>
      <c r="N8" s="143"/>
      <c r="O8" s="93"/>
      <c r="AC8" s="93"/>
      <c r="AD8" s="143" t="str">
        <f>B8</f>
        <v>Amount of transported raw material</v>
      </c>
      <c r="AE8" s="339">
        <f>SUM(R21:R22,R27:R29)</f>
        <v>0</v>
      </c>
      <c r="AF8" s="143" t="str">
        <f>D8</f>
        <v>[kg]</v>
      </c>
      <c r="AG8" s="143"/>
      <c r="AH8" s="143"/>
      <c r="AI8" s="143"/>
      <c r="AJ8" s="143"/>
      <c r="AK8" s="143"/>
      <c r="AL8" s="143"/>
      <c r="AM8" s="143"/>
      <c r="AN8" s="143"/>
      <c r="AO8" s="143"/>
      <c r="AP8" s="143"/>
      <c r="AQ8" s="146"/>
      <c r="AR8" s="146"/>
      <c r="AS8" s="146"/>
      <c r="AT8" s="142"/>
      <c r="AU8" s="142"/>
      <c r="AV8" s="142"/>
      <c r="AW8" s="142"/>
      <c r="AX8" s="142"/>
      <c r="AY8" s="142"/>
      <c r="AZ8" s="142"/>
      <c r="BA8" s="142"/>
      <c r="BB8" s="142"/>
      <c r="BC8" s="142"/>
      <c r="BD8" s="142"/>
      <c r="BE8" s="143" t="str">
        <f>B8</f>
        <v>Amount of transported raw material</v>
      </c>
      <c r="BF8" s="310">
        <f>AS12</f>
        <v>0</v>
      </c>
      <c r="BG8" s="143" t="str">
        <f>D8</f>
        <v>[kg]</v>
      </c>
      <c r="BH8" s="143"/>
      <c r="BI8" s="143"/>
      <c r="BJ8" s="143"/>
      <c r="BK8" s="143"/>
      <c r="BL8" s="143"/>
      <c r="BM8" s="143"/>
      <c r="BN8" s="143"/>
      <c r="BO8" s="146"/>
      <c r="BP8" s="142"/>
      <c r="BQ8" s="142"/>
      <c r="BR8" s="142"/>
      <c r="BS8" s="142"/>
      <c r="BT8" s="142"/>
      <c r="BU8" s="142"/>
      <c r="BV8" s="142"/>
      <c r="BW8" s="142"/>
      <c r="BX8" s="142"/>
      <c r="BY8" s="142"/>
      <c r="BZ8" s="142"/>
      <c r="CA8" s="142"/>
      <c r="CB8" s="146"/>
      <c r="CC8" s="143" t="str">
        <f>B8</f>
        <v>Amount of transported raw material</v>
      </c>
      <c r="CD8" s="340">
        <f>SUM(R21:R22,R27:R29)</f>
        <v>0</v>
      </c>
      <c r="CE8" s="143" t="str">
        <f>D8</f>
        <v>[kg]</v>
      </c>
      <c r="CF8" s="143"/>
      <c r="CG8" s="143"/>
      <c r="CH8" s="143"/>
      <c r="CI8" s="143"/>
      <c r="CJ8" s="143"/>
      <c r="CK8" s="143"/>
      <c r="CL8" s="143"/>
      <c r="CM8" s="143"/>
      <c r="CN8" s="143"/>
      <c r="CO8" s="143"/>
      <c r="CP8" s="146"/>
      <c r="CQ8" s="146"/>
      <c r="CR8" s="146"/>
      <c r="CS8" s="146"/>
      <c r="CT8" s="146"/>
      <c r="CU8" s="146"/>
      <c r="CV8" s="146"/>
      <c r="CW8" s="142"/>
      <c r="CX8" s="142"/>
      <c r="CY8" s="142"/>
      <c r="CZ8" s="142"/>
      <c r="DA8" s="142"/>
      <c r="DB8" s="142"/>
      <c r="DC8" s="142"/>
      <c r="DD8" s="146"/>
      <c r="DE8" s="178" t="str">
        <f>B8</f>
        <v>Amount of transported raw material</v>
      </c>
      <c r="DF8" s="311" t="e">
        <f>CS90</f>
        <v>#DIV/0!</v>
      </c>
      <c r="DG8" s="178" t="str">
        <f>D8</f>
        <v>[kg]</v>
      </c>
      <c r="DH8" s="178"/>
      <c r="DI8" s="178"/>
      <c r="DJ8" s="178"/>
      <c r="DK8" s="178"/>
      <c r="DL8" s="178"/>
      <c r="DM8" s="178"/>
      <c r="DN8" s="178"/>
      <c r="DO8" s="178"/>
      <c r="DP8" s="178"/>
      <c r="DQ8" s="178"/>
      <c r="DR8" s="146"/>
      <c r="DS8" s="146"/>
      <c r="DT8" s="146"/>
      <c r="DU8" s="146"/>
      <c r="DV8" s="142"/>
      <c r="DW8" s="142"/>
      <c r="DX8" s="142"/>
      <c r="DY8" s="142"/>
      <c r="DZ8" s="142"/>
      <c r="EA8" s="142"/>
      <c r="EB8" s="142"/>
      <c r="EC8" s="142"/>
      <c r="ED8" s="142"/>
      <c r="EE8" s="142"/>
      <c r="EF8" s="146"/>
      <c r="EG8" s="146"/>
      <c r="EH8" s="146"/>
      <c r="EI8" s="146"/>
      <c r="EJ8" s="146"/>
      <c r="EK8" s="146"/>
      <c r="EL8" s="146"/>
      <c r="EM8" s="146"/>
      <c r="EN8" s="146"/>
      <c r="EO8" s="146"/>
      <c r="EP8" s="146"/>
      <c r="EQ8" s="146"/>
      <c r="ER8" s="146"/>
      <c r="ES8" s="146"/>
      <c r="ET8" s="146"/>
      <c r="EU8" s="146"/>
      <c r="EV8" s="146"/>
      <c r="EW8" s="146"/>
      <c r="EX8" s="146"/>
      <c r="EY8" s="146"/>
      <c r="EZ8" s="146"/>
      <c r="FA8" s="146"/>
      <c r="FB8" s="146"/>
      <c r="FC8" s="146"/>
    </row>
    <row r="9" spans="2:159">
      <c r="B9" s="143" t="str">
        <f>Input!B46</f>
        <v>Product sub-category</v>
      </c>
      <c r="C9" s="309">
        <f>VLOOKUP(Input!$D46,Hidden_Lists!$D$36:$F$49,3,FALSE)</f>
        <v>0</v>
      </c>
      <c r="D9" s="143" t="str">
        <f>VLOOKUP("Units_Celsius",Hidden_Translations!$B$11:$J$1184,Hidden_Translations!$C$8,FALSE)</f>
        <v>[⁰C]</v>
      </c>
      <c r="E9" s="143"/>
      <c r="F9" s="143"/>
      <c r="G9" s="143"/>
      <c r="H9" s="143"/>
      <c r="I9" s="143"/>
      <c r="J9" s="143"/>
      <c r="K9" s="143"/>
      <c r="L9" s="143"/>
      <c r="M9" s="143"/>
      <c r="N9" s="143"/>
      <c r="O9" s="93"/>
      <c r="AC9" s="93"/>
      <c r="AD9" s="90" t="str">
        <f>B9</f>
        <v>Product sub-category</v>
      </c>
      <c r="AE9" s="309">
        <f>VLOOKUP(Input!$D46,Hidden_Lists!$D$36:$F$49,3,FALSE)</f>
        <v>0</v>
      </c>
      <c r="AF9" s="143" t="str">
        <f>D9</f>
        <v>[⁰C]</v>
      </c>
      <c r="AG9" s="143"/>
      <c r="AH9" s="143"/>
      <c r="AI9" s="143"/>
      <c r="AJ9" s="143"/>
      <c r="AK9" s="143"/>
      <c r="AL9" s="143"/>
      <c r="AM9" s="143"/>
      <c r="AN9" s="143"/>
      <c r="AO9" s="143"/>
      <c r="AP9" s="143"/>
      <c r="AQ9" s="146"/>
      <c r="AR9" s="146"/>
      <c r="AS9" s="146"/>
      <c r="AT9" s="142"/>
      <c r="AU9" s="142"/>
      <c r="AV9" s="142"/>
      <c r="AW9" s="142"/>
      <c r="AX9" s="142"/>
      <c r="AY9" s="142"/>
      <c r="AZ9" s="142"/>
      <c r="BA9" s="142"/>
      <c r="BB9" s="142"/>
      <c r="BC9" s="142"/>
      <c r="BD9" s="142"/>
      <c r="BE9" s="143" t="str">
        <f>B9</f>
        <v>Product sub-category</v>
      </c>
      <c r="BF9" s="312">
        <f>VLOOKUP(Input!$D46,Hidden_Lists!$D$36:$F$49,3,FALSE)</f>
        <v>0</v>
      </c>
      <c r="BG9" s="178" t="str">
        <f>D9</f>
        <v>[⁰C]</v>
      </c>
      <c r="BH9" s="142"/>
      <c r="BI9" s="178"/>
      <c r="BJ9" s="178"/>
      <c r="BK9" s="178"/>
      <c r="BL9" s="178"/>
      <c r="BM9" s="178"/>
      <c r="BN9" s="178"/>
      <c r="BO9" s="146"/>
      <c r="BP9" s="142"/>
      <c r="BQ9" s="142"/>
      <c r="BR9" s="142"/>
      <c r="BS9" s="142"/>
      <c r="BT9" s="142"/>
      <c r="BU9" s="142"/>
      <c r="BV9" s="142"/>
      <c r="BW9" s="142"/>
      <c r="BX9" s="142"/>
      <c r="BY9" s="142"/>
      <c r="BZ9" s="142"/>
      <c r="CA9" s="142"/>
      <c r="CB9" s="146"/>
      <c r="CC9" s="143" t="str">
        <f>B9</f>
        <v>Product sub-category</v>
      </c>
      <c r="CD9" s="312">
        <f>VLOOKUP(Input!$D46,Hidden_Lists!$D$36:$F$49,3,FALSE)</f>
        <v>0</v>
      </c>
      <c r="CE9" s="143" t="str">
        <f>D9</f>
        <v>[⁰C]</v>
      </c>
      <c r="CF9" s="143"/>
      <c r="CG9" s="143"/>
      <c r="CH9" s="143"/>
      <c r="CI9" s="143"/>
      <c r="CJ9" s="143"/>
      <c r="CK9" s="143"/>
      <c r="CL9" s="143"/>
      <c r="CM9" s="143"/>
      <c r="CN9" s="143"/>
      <c r="CO9" s="143"/>
      <c r="CP9" s="146"/>
      <c r="CQ9" s="146"/>
      <c r="CR9" s="146"/>
      <c r="CS9" s="146"/>
      <c r="CT9" s="146"/>
      <c r="CU9" s="146"/>
      <c r="CV9" s="146"/>
      <c r="CW9" s="142"/>
      <c r="CX9" s="142"/>
      <c r="CY9" s="142"/>
      <c r="CZ9" s="142"/>
      <c r="DA9" s="142"/>
      <c r="DB9" s="142"/>
      <c r="DC9" s="142"/>
      <c r="DD9" s="146"/>
      <c r="DE9" s="178" t="str">
        <f>B9</f>
        <v>Product sub-category</v>
      </c>
      <c r="DF9" s="313">
        <f>VLOOKUP(Input!$D46,Hidden_Lists!$D$36:$F$49,3,FALSE)</f>
        <v>0</v>
      </c>
      <c r="DG9" s="178" t="str">
        <f>D9</f>
        <v>[⁰C]</v>
      </c>
      <c r="DH9" s="178"/>
      <c r="DI9" s="178"/>
      <c r="DJ9" s="178"/>
      <c r="DK9" s="178"/>
      <c r="DL9" s="178"/>
      <c r="DM9" s="178"/>
      <c r="DN9" s="178"/>
      <c r="DO9" s="178"/>
      <c r="DP9" s="178"/>
      <c r="DQ9" s="178"/>
      <c r="DR9" s="146"/>
      <c r="DS9" s="146"/>
      <c r="DT9" s="146"/>
      <c r="DU9" s="146"/>
      <c r="DV9" s="142"/>
      <c r="DW9" s="142"/>
      <c r="DX9" s="142"/>
      <c r="DY9" s="142"/>
      <c r="DZ9" s="142"/>
      <c r="EA9" s="142"/>
      <c r="EB9" s="142"/>
      <c r="EC9" s="142"/>
      <c r="ED9" s="142"/>
      <c r="EE9" s="142"/>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row>
    <row r="10" spans="2:159" ht="18.75">
      <c r="B10" s="131" t="s">
        <v>186</v>
      </c>
      <c r="C10" s="131"/>
      <c r="D10" s="131"/>
      <c r="E10" s="131"/>
      <c r="F10" s="131"/>
      <c r="G10" s="131"/>
      <c r="H10" s="131"/>
      <c r="I10" s="131"/>
      <c r="J10" s="131"/>
      <c r="K10" s="131"/>
      <c r="L10" s="131"/>
      <c r="M10" s="131"/>
      <c r="N10" s="93"/>
      <c r="O10" s="93"/>
      <c r="AB10" s="93"/>
      <c r="AC10" s="93"/>
      <c r="AD10" s="93"/>
      <c r="AF10" s="142"/>
      <c r="AG10" s="142"/>
      <c r="AH10" s="142"/>
      <c r="AI10" s="142"/>
      <c r="AJ10" s="142"/>
      <c r="AK10" s="142"/>
      <c r="AL10" s="142"/>
      <c r="AM10" s="142"/>
      <c r="AN10" s="142"/>
      <c r="AO10" s="142"/>
      <c r="AP10" s="146"/>
      <c r="AQ10" s="146"/>
      <c r="AR10" s="146"/>
      <c r="AS10" s="146"/>
      <c r="AT10" s="142"/>
      <c r="AU10" s="142"/>
      <c r="AV10" s="142"/>
      <c r="AW10" s="142"/>
      <c r="AX10" s="142"/>
      <c r="AY10" s="142"/>
      <c r="AZ10" s="142"/>
      <c r="BA10" s="142"/>
      <c r="BB10" s="142"/>
      <c r="BC10" s="142"/>
      <c r="BD10" s="142"/>
      <c r="BE10" s="146"/>
      <c r="BF10" s="146"/>
      <c r="BG10" s="142"/>
      <c r="BH10" s="142"/>
      <c r="BI10" s="142"/>
      <c r="BJ10" s="142"/>
      <c r="BK10" s="142"/>
      <c r="BL10" s="142"/>
      <c r="BM10" s="142"/>
      <c r="BN10" s="146"/>
      <c r="BO10" s="146"/>
      <c r="BP10" s="142"/>
      <c r="BQ10" s="142"/>
      <c r="BR10" s="142"/>
      <c r="BS10" s="142"/>
      <c r="BT10" s="142"/>
      <c r="BU10" s="142"/>
      <c r="BV10" s="142"/>
      <c r="BW10" s="142"/>
      <c r="BX10" s="142"/>
      <c r="BY10" s="142"/>
      <c r="BZ10" s="142"/>
      <c r="CA10" s="142"/>
      <c r="CB10" s="146"/>
      <c r="CC10" s="146"/>
      <c r="CD10" s="146"/>
      <c r="CE10" s="146"/>
      <c r="CF10" s="142"/>
      <c r="CG10" s="142"/>
      <c r="CH10" s="142"/>
      <c r="CI10" s="142"/>
      <c r="CJ10" s="142"/>
      <c r="CK10" s="142"/>
      <c r="CL10" s="142"/>
      <c r="CM10" s="142"/>
      <c r="CN10" s="142"/>
      <c r="CO10" s="142"/>
      <c r="CP10" s="146"/>
      <c r="CQ10" s="146"/>
      <c r="CR10" s="146"/>
      <c r="CS10" s="146"/>
      <c r="CT10" s="146"/>
      <c r="CU10" s="146"/>
      <c r="CV10" s="146"/>
      <c r="CW10" s="142"/>
      <c r="CX10" s="142"/>
      <c r="CY10" s="142"/>
      <c r="CZ10" s="142"/>
      <c r="DA10" s="142"/>
      <c r="DB10" s="142"/>
      <c r="DC10" s="142"/>
      <c r="DD10" s="146"/>
      <c r="DE10" s="31"/>
      <c r="DF10" s="31"/>
      <c r="DG10" s="31"/>
      <c r="DH10" s="31"/>
      <c r="DI10" s="31"/>
      <c r="DJ10" s="31"/>
      <c r="DK10" s="31"/>
      <c r="DL10" s="31"/>
      <c r="DM10" s="31"/>
      <c r="DN10" s="31"/>
      <c r="DO10" s="31"/>
      <c r="DP10" s="31"/>
      <c r="DQ10" s="31"/>
      <c r="DR10" s="146"/>
      <c r="DS10" s="146"/>
      <c r="DT10" s="146"/>
      <c r="DU10" s="146"/>
      <c r="DV10" s="142"/>
      <c r="DW10" s="142"/>
      <c r="DX10" s="142"/>
      <c r="DY10" s="142"/>
      <c r="DZ10" s="142"/>
      <c r="EA10" s="142"/>
      <c r="EB10" s="142"/>
      <c r="EC10" s="142"/>
      <c r="ED10" s="142"/>
      <c r="EE10" s="142"/>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row>
    <row r="11" spans="2:159">
      <c r="B11" s="69" t="str">
        <f>VLOOKUP("Hidden_Calculation_Header_Storage",Hidden_Translations!$B$11:$J$1184,Hidden_Translations!$C$8,FALSE)</f>
        <v>General data: Storage</v>
      </c>
      <c r="C11" s="70"/>
      <c r="D11" s="70"/>
      <c r="E11" s="70"/>
      <c r="F11" s="70"/>
      <c r="G11" s="70"/>
      <c r="H11" s="70"/>
      <c r="I11" s="70"/>
      <c r="J11" s="70"/>
      <c r="K11" s="69"/>
      <c r="L11" s="70"/>
      <c r="M11" s="70"/>
      <c r="N11" s="70"/>
      <c r="O11" s="93"/>
      <c r="P11" s="69" t="str">
        <f>B11</f>
        <v>General data: Storage</v>
      </c>
      <c r="Q11" s="70"/>
      <c r="R11" s="70"/>
      <c r="S11" s="70"/>
      <c r="T11" s="70"/>
      <c r="U11" s="70"/>
      <c r="V11" s="70"/>
      <c r="W11" s="70"/>
      <c r="X11" s="70"/>
      <c r="Y11" s="70"/>
      <c r="Z11" s="69"/>
      <c r="AA11" s="70"/>
      <c r="AB11" s="70"/>
      <c r="AC11" s="93"/>
      <c r="AD11" s="69" t="str">
        <f>B11</f>
        <v>General data: Storage</v>
      </c>
      <c r="AE11" s="70"/>
      <c r="AF11" s="180"/>
      <c r="AG11" s="180"/>
      <c r="AH11" s="180"/>
      <c r="AI11" s="180"/>
      <c r="AJ11" s="180"/>
      <c r="AK11" s="180"/>
      <c r="AL11" s="180"/>
      <c r="AM11" s="69"/>
      <c r="AN11" s="180"/>
      <c r="AO11" s="180"/>
      <c r="AP11" s="180"/>
      <c r="AQ11" s="146"/>
      <c r="AR11" s="69" t="str">
        <f>B11</f>
        <v>General data: Storage</v>
      </c>
      <c r="AS11" s="180"/>
      <c r="AT11" s="180"/>
      <c r="AU11" s="180"/>
      <c r="AV11" s="180"/>
      <c r="AW11" s="180"/>
      <c r="AX11" s="180"/>
      <c r="AY11" s="180"/>
      <c r="AZ11" s="180"/>
      <c r="BA11" s="69"/>
      <c r="BB11" s="180"/>
      <c r="BC11" s="180"/>
      <c r="BD11" s="142"/>
      <c r="BE11" s="69" t="str">
        <f>B11</f>
        <v>General data: Storage</v>
      </c>
      <c r="BF11" s="180"/>
      <c r="BG11" s="180"/>
      <c r="BH11" s="180"/>
      <c r="BI11" s="180"/>
      <c r="BJ11" s="180"/>
      <c r="BK11" s="180"/>
      <c r="BL11" s="180"/>
      <c r="BM11" s="180"/>
      <c r="BN11" s="69"/>
      <c r="BO11" s="146"/>
      <c r="BP11" s="69" t="str">
        <f>B11</f>
        <v>General data: Storage</v>
      </c>
      <c r="BQ11" s="180"/>
      <c r="BR11" s="180"/>
      <c r="BS11" s="180"/>
      <c r="BT11" s="180"/>
      <c r="BU11" s="180"/>
      <c r="BV11" s="180"/>
      <c r="BW11" s="180"/>
      <c r="BX11" s="180"/>
      <c r="BY11" s="69"/>
      <c r="BZ11" s="69"/>
      <c r="CA11" s="69"/>
      <c r="CB11" s="146"/>
      <c r="CC11" s="69" t="str">
        <f>B11</f>
        <v>General data: Storage</v>
      </c>
      <c r="CD11" s="180"/>
      <c r="CE11" s="180"/>
      <c r="CF11" s="180"/>
      <c r="CG11" s="180"/>
      <c r="CH11" s="180"/>
      <c r="CI11" s="180"/>
      <c r="CJ11" s="180"/>
      <c r="CK11" s="180"/>
      <c r="CL11" s="69"/>
      <c r="CM11" s="69"/>
      <c r="CN11" s="69"/>
      <c r="CO11" s="69"/>
      <c r="CP11" s="146"/>
      <c r="CQ11" s="69" t="str">
        <f>B11</f>
        <v>General data: Storage</v>
      </c>
      <c r="CR11" s="180"/>
      <c r="CS11" s="180"/>
      <c r="CT11" s="180"/>
      <c r="CU11" s="180"/>
      <c r="CV11" s="180"/>
      <c r="CW11" s="180"/>
      <c r="CX11" s="180"/>
      <c r="CY11" s="180"/>
      <c r="CZ11" s="180"/>
      <c r="DA11" s="69"/>
      <c r="DB11" s="69"/>
      <c r="DC11" s="69"/>
      <c r="DD11" s="146"/>
      <c r="DE11" s="69" t="str">
        <f>B11</f>
        <v>General data: Storage</v>
      </c>
      <c r="DF11" s="180"/>
      <c r="DG11" s="180"/>
      <c r="DH11" s="180"/>
      <c r="DI11" s="180"/>
      <c r="DJ11" s="180"/>
      <c r="DK11" s="180"/>
      <c r="DL11" s="180"/>
      <c r="DM11" s="180"/>
      <c r="DN11" s="69"/>
      <c r="DO11" s="69"/>
      <c r="DP11" s="69"/>
      <c r="DQ11" s="69"/>
      <c r="DR11" s="146"/>
      <c r="DS11" s="69" t="str">
        <f>B11</f>
        <v>General data: Storage</v>
      </c>
      <c r="DT11" s="180"/>
      <c r="DU11" s="180"/>
      <c r="DV11" s="180"/>
      <c r="DW11" s="180"/>
      <c r="DX11" s="180"/>
      <c r="DY11" s="180"/>
      <c r="DZ11" s="180"/>
      <c r="EA11" s="180"/>
      <c r="EB11" s="180"/>
      <c r="EC11" s="69"/>
      <c r="ED11" s="69"/>
      <c r="EE11" s="69"/>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row>
    <row r="12" spans="2:159">
      <c r="E12" s="93"/>
      <c r="F12" s="93"/>
      <c r="G12" s="93"/>
      <c r="H12" s="93"/>
      <c r="I12" s="93"/>
      <c r="J12" s="93"/>
      <c r="K12" s="93"/>
      <c r="L12" s="93"/>
      <c r="M12" s="93"/>
      <c r="N12" s="93"/>
      <c r="O12" s="93"/>
      <c r="AC12" s="93"/>
      <c r="AD12" s="93"/>
      <c r="AE12" s="93"/>
      <c r="AF12" s="146"/>
      <c r="AG12" s="142"/>
      <c r="AH12" s="142"/>
      <c r="AI12" s="142"/>
      <c r="AJ12" s="142"/>
      <c r="AK12" s="142"/>
      <c r="AL12" s="142"/>
      <c r="AM12" s="142"/>
      <c r="AN12" s="142"/>
      <c r="AO12" s="142"/>
      <c r="AP12" s="146"/>
      <c r="AQ12" s="146"/>
      <c r="AR12" s="143" t="str">
        <f>VLOOKUP("Hidden_Calculation_Amount_Store",Hidden_Translations!$B$11:$J$1184,Hidden_Translations!$C$8,FALSE)</f>
        <v>Amount to store</v>
      </c>
      <c r="AS12" s="310">
        <f>AE8</f>
        <v>0</v>
      </c>
      <c r="AT12" s="143" t="str">
        <f>VLOOKUP("Units_kg",Hidden_Translations!$B$11:$J$1184,Hidden_Translations!$C$8,FALSE)</f>
        <v>[kg]</v>
      </c>
      <c r="AU12" s="263"/>
      <c r="AV12" s="263"/>
      <c r="AW12" s="143"/>
      <c r="AX12" s="143"/>
      <c r="AY12" s="143"/>
      <c r="AZ12" s="143"/>
      <c r="BA12" s="143"/>
      <c r="BB12" s="143"/>
      <c r="BC12" s="143"/>
      <c r="BD12" s="142"/>
      <c r="BE12" s="146"/>
      <c r="BF12" s="146"/>
      <c r="BG12" s="146"/>
      <c r="BH12" s="142"/>
      <c r="BI12" s="142"/>
      <c r="BJ12" s="142"/>
      <c r="BK12" s="142"/>
      <c r="BL12" s="142"/>
      <c r="BM12" s="142"/>
      <c r="BN12" s="146"/>
      <c r="BO12" s="146"/>
      <c r="BP12" s="143" t="str">
        <f>AR12</f>
        <v>Amount to store</v>
      </c>
      <c r="BQ12" s="310">
        <f>+BF8</f>
        <v>0</v>
      </c>
      <c r="BR12" s="143" t="str">
        <f>AT12</f>
        <v>[kg]</v>
      </c>
      <c r="BS12" s="143"/>
      <c r="BT12" s="185"/>
      <c r="BU12" s="143"/>
      <c r="BV12" s="143"/>
      <c r="BW12" s="143"/>
      <c r="BX12" s="143"/>
      <c r="BY12" s="143"/>
      <c r="BZ12" s="143"/>
      <c r="CA12" s="143"/>
      <c r="CB12" s="142"/>
      <c r="CC12" s="146"/>
      <c r="CD12" s="146"/>
      <c r="CE12" s="146"/>
      <c r="CF12" s="134"/>
      <c r="CG12" s="134"/>
      <c r="CH12" s="134"/>
      <c r="CI12" s="134"/>
      <c r="CJ12" s="134"/>
      <c r="CK12" s="134"/>
      <c r="CL12" s="134"/>
      <c r="CM12" s="134"/>
      <c r="CN12" s="134"/>
      <c r="CO12" s="142"/>
      <c r="CP12" s="146"/>
      <c r="CQ12" s="143" t="str">
        <f>AR12</f>
        <v>Amount to store</v>
      </c>
      <c r="CR12" s="316">
        <f>CD8</f>
        <v>0</v>
      </c>
      <c r="CS12" s="143" t="str">
        <f>AT12</f>
        <v>[kg]</v>
      </c>
      <c r="CT12" s="143"/>
      <c r="CU12" s="143"/>
      <c r="CV12" s="143"/>
      <c r="CW12" s="143"/>
      <c r="CX12" s="143"/>
      <c r="CY12" s="143"/>
      <c r="CZ12" s="143"/>
      <c r="DA12" s="143"/>
      <c r="DB12" s="143"/>
      <c r="DC12" s="143"/>
      <c r="DD12" s="146"/>
      <c r="DE12" s="31"/>
      <c r="DF12" s="31"/>
      <c r="DG12" s="31"/>
      <c r="DH12" s="31"/>
      <c r="DI12" s="31"/>
      <c r="DJ12" s="31"/>
      <c r="DK12" s="31"/>
      <c r="DL12" s="31"/>
      <c r="DM12" s="31"/>
      <c r="DN12" s="31"/>
      <c r="DO12" s="31"/>
      <c r="DP12" s="31"/>
      <c r="DQ12" s="31"/>
      <c r="DR12" s="146"/>
      <c r="DS12" s="143" t="str">
        <f>AR12</f>
        <v>Amount to store</v>
      </c>
      <c r="DT12" s="314" t="e">
        <f>DF8</f>
        <v>#DIV/0!</v>
      </c>
      <c r="DU12" s="143" t="str">
        <f>AT12</f>
        <v>[kg]</v>
      </c>
      <c r="DV12" s="143"/>
      <c r="DW12" s="143"/>
      <c r="DX12" s="143"/>
      <c r="DY12" s="143"/>
      <c r="DZ12" s="143"/>
      <c r="EA12" s="143"/>
      <c r="EB12" s="143"/>
      <c r="EC12" s="143"/>
      <c r="ED12" s="143"/>
      <c r="EE12" s="143"/>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row>
    <row r="13" spans="2:159">
      <c r="B13" s="93"/>
      <c r="C13" s="93"/>
      <c r="D13" s="133"/>
      <c r="E13" s="93"/>
      <c r="F13" s="93"/>
      <c r="G13" s="93"/>
      <c r="H13" s="93"/>
      <c r="I13" s="93"/>
      <c r="J13" s="93"/>
      <c r="K13" s="93"/>
      <c r="L13" s="93"/>
      <c r="M13" s="93"/>
      <c r="N13" s="93"/>
      <c r="O13" s="93"/>
      <c r="P13" s="90" t="str">
        <f>VLOOKUP("Hidden_Calculation_Storage_Temperature",Hidden_Translations!$B$11:$J$1184,Hidden_Translations!$C$8,FALSE)</f>
        <v>Storage temperature</v>
      </c>
      <c r="Q13" s="309">
        <f>VLOOKUP(Input!$D46,Hidden_Lists!$D$36:$E$49,2,FALSE)</f>
        <v>0</v>
      </c>
      <c r="R13" s="90" t="str">
        <f>D9</f>
        <v>[⁰C]</v>
      </c>
      <c r="S13" s="90"/>
      <c r="T13" s="90"/>
      <c r="U13" s="90"/>
      <c r="V13" s="90"/>
      <c r="W13" s="90"/>
      <c r="X13" s="90"/>
      <c r="Y13" s="90"/>
      <c r="Z13" s="90"/>
      <c r="AA13" s="90"/>
      <c r="AB13" s="90"/>
      <c r="AC13" s="93"/>
      <c r="AD13" s="93"/>
      <c r="AE13" s="93"/>
      <c r="AF13" s="133"/>
      <c r="AG13" s="142"/>
      <c r="AH13" s="142"/>
      <c r="AI13" s="142"/>
      <c r="AJ13" s="142"/>
      <c r="AK13" s="142"/>
      <c r="AL13" s="142"/>
      <c r="AM13" s="142"/>
      <c r="AN13" s="142"/>
      <c r="AO13" s="142"/>
      <c r="AP13" s="142"/>
      <c r="AQ13" s="146"/>
      <c r="AR13" s="143" t="str">
        <f>P13</f>
        <v>Storage temperature</v>
      </c>
      <c r="AS13" s="315">
        <f>VLOOKUP(Input!$D46,Hidden_Lists!$D$36:$E$49,2,FALSE)</f>
        <v>0</v>
      </c>
      <c r="AT13" s="178" t="str">
        <f>R13</f>
        <v>[⁰C]</v>
      </c>
      <c r="AU13" s="142"/>
      <c r="AV13" s="178"/>
      <c r="AW13" s="178"/>
      <c r="AX13" s="178"/>
      <c r="AY13" s="178"/>
      <c r="AZ13" s="178"/>
      <c r="BA13" s="178"/>
      <c r="BB13" s="178"/>
      <c r="BC13" s="178"/>
      <c r="BD13" s="142"/>
      <c r="BE13" s="142"/>
      <c r="BF13" s="142"/>
      <c r="BG13" s="133"/>
      <c r="BH13" s="142"/>
      <c r="BI13" s="142"/>
      <c r="BJ13" s="142"/>
      <c r="BK13" s="142"/>
      <c r="BL13" s="142"/>
      <c r="BM13" s="142"/>
      <c r="BN13" s="146"/>
      <c r="BO13" s="146"/>
      <c r="BP13" s="143" t="str">
        <f>P13</f>
        <v>Storage temperature</v>
      </c>
      <c r="BQ13" s="315">
        <f>VLOOKUP(Input!$D46,Hidden_Lists!$D$36:$E$49,2,FALSE)</f>
        <v>0</v>
      </c>
      <c r="BR13" s="143" t="str">
        <f>AT13</f>
        <v>[⁰C]</v>
      </c>
      <c r="BS13" s="143"/>
      <c r="BT13" s="143"/>
      <c r="BU13" s="143"/>
      <c r="BV13" s="143"/>
      <c r="BW13" s="143"/>
      <c r="BX13" s="143"/>
      <c r="BY13" s="143"/>
      <c r="BZ13" s="143"/>
      <c r="CA13" s="143"/>
      <c r="CB13" s="142"/>
      <c r="CC13" s="142"/>
      <c r="CD13" s="142"/>
      <c r="CE13" s="134"/>
      <c r="CF13" s="134"/>
      <c r="CG13" s="134"/>
      <c r="CH13" s="134"/>
      <c r="CI13" s="134"/>
      <c r="CJ13" s="134"/>
      <c r="CK13" s="134"/>
      <c r="CL13" s="134"/>
      <c r="CM13" s="134"/>
      <c r="CN13" s="134"/>
      <c r="CO13" s="142"/>
      <c r="CP13" s="146"/>
      <c r="CQ13" s="143" t="str">
        <f>P13</f>
        <v>Storage temperature</v>
      </c>
      <c r="CR13" s="312">
        <f>VLOOKUP(Input!$D46,Hidden_Lists!$D$36:$E$49,2,FALSE)</f>
        <v>0</v>
      </c>
      <c r="CS13" s="178" t="str">
        <f>R13</f>
        <v>[⁰C]</v>
      </c>
      <c r="CT13" s="178"/>
      <c r="CU13" s="178"/>
      <c r="CV13" s="178"/>
      <c r="CW13" s="178"/>
      <c r="CX13" s="178"/>
      <c r="CY13" s="178"/>
      <c r="CZ13" s="178"/>
      <c r="DA13" s="178"/>
      <c r="DB13" s="178"/>
      <c r="DC13" s="178"/>
      <c r="DD13" s="146"/>
      <c r="DE13" s="31"/>
      <c r="DF13" s="31"/>
      <c r="DG13" s="31"/>
      <c r="DH13" s="31"/>
      <c r="DI13" s="31"/>
      <c r="DJ13" s="31"/>
      <c r="DK13" s="31"/>
      <c r="DL13" s="31"/>
      <c r="DM13" s="31"/>
      <c r="DN13" s="31"/>
      <c r="DO13" s="31"/>
      <c r="DP13" s="31"/>
      <c r="DQ13" s="41"/>
      <c r="DR13" s="146"/>
      <c r="DS13" s="178" t="str">
        <f>P13</f>
        <v>Storage temperature</v>
      </c>
      <c r="DT13" s="316">
        <f>VLOOKUP(Input!$D46,Hidden_Lists!$D$36:$E$49,2,FALSE)</f>
        <v>0</v>
      </c>
      <c r="DU13" s="178" t="str">
        <f>R13</f>
        <v>[⁰C]</v>
      </c>
      <c r="DV13" s="178"/>
      <c r="DW13" s="178"/>
      <c r="DX13" s="178"/>
      <c r="DY13" s="178"/>
      <c r="DZ13" s="178"/>
      <c r="EA13" s="178"/>
      <c r="EB13" s="178"/>
      <c r="EC13" s="178"/>
      <c r="ED13" s="178"/>
      <c r="EE13" s="178"/>
      <c r="EF13" s="146"/>
      <c r="EG13" s="146"/>
      <c r="EH13" s="146"/>
      <c r="EI13" s="146"/>
      <c r="EJ13" s="146"/>
      <c r="EK13" s="146"/>
      <c r="EL13" s="146"/>
      <c r="EM13" s="146"/>
      <c r="EN13" s="146"/>
      <c r="EO13" s="146"/>
      <c r="EP13" s="146"/>
      <c r="EQ13" s="146"/>
      <c r="ER13" s="146"/>
      <c r="ES13" s="146"/>
      <c r="ET13" s="146"/>
      <c r="EU13" s="146"/>
      <c r="EV13" s="146"/>
      <c r="EW13" s="146"/>
      <c r="EX13" s="146"/>
      <c r="EY13" s="146"/>
      <c r="EZ13" s="146"/>
      <c r="FA13" s="146"/>
      <c r="FB13" s="146"/>
      <c r="FC13" s="146"/>
    </row>
    <row r="14" spans="2:159">
      <c r="B14" s="93"/>
      <c r="C14" s="93"/>
      <c r="D14" s="133"/>
      <c r="E14" s="93"/>
      <c r="F14" s="93"/>
      <c r="G14" s="93"/>
      <c r="H14" s="93"/>
      <c r="I14" s="93"/>
      <c r="J14" s="93"/>
      <c r="K14" s="93"/>
      <c r="L14" s="93"/>
      <c r="M14" s="93"/>
      <c r="N14" s="93"/>
      <c r="O14" s="93"/>
      <c r="P14" s="143" t="str">
        <f>+Input!B96</f>
        <v>Storage time of a batch at the warehouse</v>
      </c>
      <c r="Q14" s="317">
        <f>+Input!F96*24</f>
        <v>0</v>
      </c>
      <c r="R14" s="178" t="str">
        <f>VLOOKUP("Units_h_a",Hidden_Translations!$B$11:$J$1184,Hidden_Translations!$C$8,FALSE)</f>
        <v>[h/a]</v>
      </c>
      <c r="S14" s="178"/>
      <c r="T14" s="178"/>
      <c r="U14" s="178"/>
      <c r="V14" s="178"/>
      <c r="W14" s="178"/>
      <c r="X14" s="178"/>
      <c r="Y14" s="178"/>
      <c r="Z14" s="178"/>
      <c r="AA14" s="178"/>
      <c r="AB14" s="178"/>
      <c r="AC14" s="93"/>
      <c r="AD14" s="93"/>
      <c r="AE14" s="93"/>
      <c r="AF14" s="133"/>
      <c r="AG14" s="142"/>
      <c r="AH14" s="142"/>
      <c r="AI14" s="142"/>
      <c r="AJ14" s="142"/>
      <c r="AK14" s="142"/>
      <c r="AL14" s="142"/>
      <c r="AM14" s="142"/>
      <c r="AN14" s="142"/>
      <c r="AO14" s="142"/>
      <c r="AP14" s="142"/>
      <c r="AQ14" s="146"/>
      <c r="AR14" s="143" t="str">
        <f>P14</f>
        <v>Storage time of a batch at the warehouse</v>
      </c>
      <c r="AS14" s="315">
        <f>+Input!F143*24</f>
        <v>0</v>
      </c>
      <c r="AT14" s="143" t="str">
        <f>R14</f>
        <v>[h/a]</v>
      </c>
      <c r="AU14" s="143"/>
      <c r="AV14" s="143"/>
      <c r="AW14" s="143"/>
      <c r="AX14" s="143"/>
      <c r="AY14" s="143"/>
      <c r="AZ14" s="143"/>
      <c r="BA14" s="143"/>
      <c r="BB14" s="143"/>
      <c r="BC14" s="143"/>
      <c r="BD14" s="142"/>
      <c r="BE14" s="142"/>
      <c r="BF14" s="142"/>
      <c r="BG14" s="133"/>
      <c r="BH14" s="142"/>
      <c r="BI14" s="142"/>
      <c r="BJ14" s="142"/>
      <c r="BK14" s="142"/>
      <c r="BL14" s="142"/>
      <c r="BM14" s="142"/>
      <c r="BN14" s="146"/>
      <c r="BO14" s="146"/>
      <c r="BP14" s="143" t="str">
        <f>P14</f>
        <v>Storage time of a batch at the warehouse</v>
      </c>
      <c r="BQ14" s="315">
        <f>+Input!F171*24</f>
        <v>0</v>
      </c>
      <c r="BR14" s="143" t="str">
        <f>AT14</f>
        <v>[h/a]</v>
      </c>
      <c r="BS14" s="143"/>
      <c r="BT14" s="143"/>
      <c r="BU14" s="143"/>
      <c r="BV14" s="143"/>
      <c r="BW14" s="143"/>
      <c r="BX14" s="143"/>
      <c r="BY14" s="143"/>
      <c r="BZ14" s="143"/>
      <c r="CA14" s="143"/>
      <c r="CB14" s="142"/>
      <c r="CC14" s="142"/>
      <c r="CD14" s="142"/>
      <c r="CE14" s="134"/>
      <c r="CF14" s="134"/>
      <c r="CG14" s="134"/>
      <c r="CH14" s="134"/>
      <c r="CI14" s="134"/>
      <c r="CJ14" s="134"/>
      <c r="CK14" s="134"/>
      <c r="CL14" s="134"/>
      <c r="CM14" s="134"/>
      <c r="CN14" s="134"/>
      <c r="CO14" s="142"/>
      <c r="CP14" s="146"/>
      <c r="CQ14" s="143" t="str">
        <f>P14</f>
        <v>Storage time of a batch at the warehouse</v>
      </c>
      <c r="CR14" s="341">
        <f>+Input!F210*24</f>
        <v>0</v>
      </c>
      <c r="CS14" s="178" t="str">
        <f>R14</f>
        <v>[h/a]</v>
      </c>
      <c r="CT14" s="178"/>
      <c r="CU14" s="178"/>
      <c r="CV14" s="178"/>
      <c r="CW14" s="178"/>
      <c r="CX14" s="178"/>
      <c r="CY14" s="178"/>
      <c r="CZ14" s="178"/>
      <c r="DA14" s="178"/>
      <c r="DB14" s="178"/>
      <c r="DC14" s="178"/>
      <c r="DD14" s="146"/>
      <c r="DE14" s="31"/>
      <c r="DF14" s="31"/>
      <c r="DG14" s="31"/>
      <c r="DH14" s="31"/>
      <c r="DI14" s="31"/>
      <c r="DJ14" s="31"/>
      <c r="DK14" s="31"/>
      <c r="DL14" s="31"/>
      <c r="DM14" s="31"/>
      <c r="DN14" s="31"/>
      <c r="DO14" s="31"/>
      <c r="DP14" s="31"/>
      <c r="DQ14" s="41"/>
      <c r="DR14" s="146"/>
      <c r="DS14" s="178" t="str">
        <f>P14</f>
        <v>Storage time of a batch at the warehouse</v>
      </c>
      <c r="DT14" s="341">
        <f>+Input!F258*24</f>
        <v>0</v>
      </c>
      <c r="DU14" s="178" t="str">
        <f>R14</f>
        <v>[h/a]</v>
      </c>
      <c r="DV14" s="178"/>
      <c r="DW14" s="178"/>
      <c r="DX14" s="178"/>
      <c r="DY14" s="178"/>
      <c r="DZ14" s="178"/>
      <c r="EA14" s="178"/>
      <c r="EB14" s="178"/>
      <c r="EC14" s="178"/>
      <c r="ED14" s="178"/>
      <c r="EE14" s="178"/>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row>
    <row r="15" spans="2:159">
      <c r="B15" s="93"/>
      <c r="C15" s="93"/>
      <c r="D15" s="133"/>
      <c r="E15" s="93"/>
      <c r="F15" s="93"/>
      <c r="G15" s="93"/>
      <c r="H15" s="93"/>
      <c r="I15" s="93"/>
      <c r="J15" s="93"/>
      <c r="K15" s="93"/>
      <c r="L15" s="93"/>
      <c r="M15" s="93"/>
      <c r="N15" s="93"/>
      <c r="O15" s="93"/>
      <c r="P15" s="143" t="str">
        <f>+Input!B98</f>
        <v>Total size of storage</v>
      </c>
      <c r="Q15" s="317">
        <f>+Input!F98</f>
        <v>0</v>
      </c>
      <c r="R15" s="90" t="str">
        <f>VLOOKUP("Units_m3",Hidden_Translations!$B$11:$J$1184,Hidden_Translations!$C$8,FALSE)</f>
        <v>[m³]</v>
      </c>
      <c r="S15" s="90"/>
      <c r="T15" s="90"/>
      <c r="U15" s="90"/>
      <c r="V15" s="90"/>
      <c r="W15" s="90"/>
      <c r="X15" s="90"/>
      <c r="Y15" s="90"/>
      <c r="Z15" s="90"/>
      <c r="AA15" s="90"/>
      <c r="AB15" s="90"/>
      <c r="AC15" s="93"/>
      <c r="AD15" s="93"/>
      <c r="AE15" s="93"/>
      <c r="AF15" s="133"/>
      <c r="AG15" s="142"/>
      <c r="AH15" s="142"/>
      <c r="AI15" s="142"/>
      <c r="AJ15" s="142"/>
      <c r="AK15" s="142"/>
      <c r="AL15" s="142"/>
      <c r="AM15" s="142"/>
      <c r="AN15" s="142"/>
      <c r="AO15" s="142"/>
      <c r="AP15" s="142"/>
      <c r="AQ15" s="146"/>
      <c r="AR15" s="143" t="str">
        <f>P15</f>
        <v>Total size of storage</v>
      </c>
      <c r="AS15" s="315">
        <f>+Input!F145</f>
        <v>0</v>
      </c>
      <c r="AT15" s="178" t="str">
        <f>R15</f>
        <v>[m³]</v>
      </c>
      <c r="AU15" s="178"/>
      <c r="AV15" s="178"/>
      <c r="AW15" s="178"/>
      <c r="AX15" s="178"/>
      <c r="AY15" s="178"/>
      <c r="AZ15" s="178"/>
      <c r="BA15" s="178"/>
      <c r="BB15" s="178"/>
      <c r="BC15" s="178"/>
      <c r="BD15" s="142"/>
      <c r="BE15" s="142"/>
      <c r="BF15" s="142"/>
      <c r="BG15" s="133"/>
      <c r="BH15" s="142"/>
      <c r="BI15" s="142"/>
      <c r="BJ15" s="142"/>
      <c r="BK15" s="142"/>
      <c r="BL15" s="142"/>
      <c r="BM15" s="142"/>
      <c r="BN15" s="146"/>
      <c r="BO15" s="146"/>
      <c r="BP15" s="143" t="str">
        <f>P15</f>
        <v>Total size of storage</v>
      </c>
      <c r="BQ15" s="315">
        <f>+Input!F173</f>
        <v>0</v>
      </c>
      <c r="BR15" s="143" t="str">
        <f>AT15</f>
        <v>[m³]</v>
      </c>
      <c r="BS15" s="143"/>
      <c r="BT15" s="143"/>
      <c r="BU15" s="143"/>
      <c r="BV15" s="143"/>
      <c r="BW15" s="143"/>
      <c r="BX15" s="143"/>
      <c r="BY15" s="143"/>
      <c r="BZ15" s="143"/>
      <c r="CA15" s="143"/>
      <c r="CB15" s="142"/>
      <c r="CC15" s="142"/>
      <c r="CD15" s="142"/>
      <c r="CE15" s="134"/>
      <c r="CF15" s="134"/>
      <c r="CG15" s="134"/>
      <c r="CH15" s="134"/>
      <c r="CI15" s="134"/>
      <c r="CJ15" s="134"/>
      <c r="CK15" s="134"/>
      <c r="CL15" s="134"/>
      <c r="CM15" s="134"/>
      <c r="CN15" s="134"/>
      <c r="CO15" s="142"/>
      <c r="CP15" s="146"/>
      <c r="CQ15" s="143" t="str">
        <f>P15</f>
        <v>Total size of storage</v>
      </c>
      <c r="CR15" s="316">
        <f>+Input!F212</f>
        <v>0</v>
      </c>
      <c r="CS15" s="143" t="str">
        <f>R15</f>
        <v>[m³]</v>
      </c>
      <c r="CT15" s="143"/>
      <c r="CU15" s="143"/>
      <c r="CV15" s="143"/>
      <c r="CW15" s="143"/>
      <c r="CX15" s="143"/>
      <c r="CY15" s="143"/>
      <c r="CZ15" s="143"/>
      <c r="DA15" s="143"/>
      <c r="DB15" s="143"/>
      <c r="DC15" s="143"/>
      <c r="DD15" s="146"/>
      <c r="DE15" s="31"/>
      <c r="DF15" s="31"/>
      <c r="DG15" s="31"/>
      <c r="DH15" s="31"/>
      <c r="DI15" s="31"/>
      <c r="DJ15" s="31"/>
      <c r="DK15" s="31"/>
      <c r="DL15" s="31"/>
      <c r="DM15" s="31"/>
      <c r="DN15" s="31"/>
      <c r="DO15" s="31"/>
      <c r="DP15" s="31"/>
      <c r="DQ15" s="41"/>
      <c r="DR15" s="146"/>
      <c r="DS15" s="143" t="str">
        <f>P15</f>
        <v>Total size of storage</v>
      </c>
      <c r="DT15" s="316">
        <f>+Input!F260</f>
        <v>0</v>
      </c>
      <c r="DU15" s="143" t="str">
        <f>R15</f>
        <v>[m³]</v>
      </c>
      <c r="DV15" s="143"/>
      <c r="DW15" s="143"/>
      <c r="DX15" s="143"/>
      <c r="DY15" s="143"/>
      <c r="DZ15" s="143"/>
      <c r="EA15" s="143"/>
      <c r="EB15" s="143"/>
      <c r="EC15" s="143"/>
      <c r="ED15" s="143"/>
      <c r="EE15" s="143"/>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row>
    <row r="16" spans="2:159">
      <c r="B16" s="93"/>
      <c r="C16" s="93"/>
      <c r="D16" s="133"/>
      <c r="E16" s="93"/>
      <c r="F16" s="93"/>
      <c r="G16" s="93"/>
      <c r="H16" s="93"/>
      <c r="I16" s="93"/>
      <c r="J16" s="93"/>
      <c r="K16" s="93"/>
      <c r="L16" s="93"/>
      <c r="M16" s="93"/>
      <c r="N16" s="93"/>
      <c r="O16" s="93"/>
      <c r="P16" s="90" t="str">
        <f>VLOOKUP("Hidden_Calculation_Warehouse_Use",Hidden_Translations!$B$11:$J$1184,Hidden_Translations!$C$8,FALSE)</f>
        <v>Warehouse use</v>
      </c>
      <c r="Q16" s="342" t="e">
        <f>+Input!F97/Input!F98</f>
        <v>#DIV/0!</v>
      </c>
      <c r="R16" s="143" t="str">
        <f>VLOOKUP("Units_Perc",Hidden_Translations!$B$11:$J$1184,Hidden_Translations!$C$8,FALSE)</f>
        <v>[%]</v>
      </c>
      <c r="S16" s="90"/>
      <c r="T16" s="90"/>
      <c r="U16" s="90"/>
      <c r="V16" s="90"/>
      <c r="W16" s="90"/>
      <c r="X16" s="90"/>
      <c r="Y16" s="90"/>
      <c r="Z16" s="90"/>
      <c r="AA16" s="90"/>
      <c r="AB16" s="90"/>
      <c r="AC16" s="93"/>
      <c r="AD16" s="93"/>
      <c r="AE16" s="93"/>
      <c r="AF16" s="133"/>
      <c r="AG16" s="142"/>
      <c r="AH16" s="142"/>
      <c r="AI16" s="142"/>
      <c r="AJ16" s="142"/>
      <c r="AK16" s="142"/>
      <c r="AL16" s="142"/>
      <c r="AM16" s="142"/>
      <c r="AN16" s="142"/>
      <c r="AO16" s="142"/>
      <c r="AP16" s="142"/>
      <c r="AQ16" s="146"/>
      <c r="AR16" s="143" t="str">
        <f>P16</f>
        <v>Warehouse use</v>
      </c>
      <c r="AS16" s="343">
        <f>IFERROR(Input!F144/Input!F145,0)</f>
        <v>0</v>
      </c>
      <c r="AT16" s="178" t="str">
        <f>R16</f>
        <v>[%]</v>
      </c>
      <c r="AU16" s="143"/>
      <c r="AV16" s="143"/>
      <c r="AW16" s="143"/>
      <c r="AX16" s="143"/>
      <c r="AY16" s="143"/>
      <c r="AZ16" s="143"/>
      <c r="BA16" s="143"/>
      <c r="BB16" s="143"/>
      <c r="BC16" s="143"/>
      <c r="BD16" s="142"/>
      <c r="BE16" s="142"/>
      <c r="BF16" s="142"/>
      <c r="BG16" s="133"/>
      <c r="BH16" s="142"/>
      <c r="BI16" s="142"/>
      <c r="BJ16" s="142"/>
      <c r="BK16" s="142"/>
      <c r="BL16" s="142"/>
      <c r="BM16" s="142"/>
      <c r="BN16" s="146"/>
      <c r="BO16" s="146"/>
      <c r="BP16" s="143" t="str">
        <f>P16</f>
        <v>Warehouse use</v>
      </c>
      <c r="BQ16" s="343">
        <f>IFERROR(Input!F172/Input!F173,0)</f>
        <v>0</v>
      </c>
      <c r="BR16" s="143" t="str">
        <f>AT16</f>
        <v>[%]</v>
      </c>
      <c r="BS16" s="178"/>
      <c r="BT16" s="178"/>
      <c r="BU16" s="178"/>
      <c r="BV16" s="178"/>
      <c r="BW16" s="178"/>
      <c r="BX16" s="178"/>
      <c r="BY16" s="178"/>
      <c r="BZ16" s="178"/>
      <c r="CA16" s="178"/>
      <c r="CB16" s="142"/>
      <c r="CC16" s="142"/>
      <c r="CD16" s="142"/>
      <c r="CE16" s="134"/>
      <c r="CF16" s="134"/>
      <c r="CG16" s="134"/>
      <c r="CH16" s="134"/>
      <c r="CI16" s="134"/>
      <c r="CJ16" s="134"/>
      <c r="CK16" s="134"/>
      <c r="CL16" s="134"/>
      <c r="CM16" s="134"/>
      <c r="CN16" s="134"/>
      <c r="CO16" s="142"/>
      <c r="CP16" s="146"/>
      <c r="CQ16" s="143" t="str">
        <f>P16</f>
        <v>Warehouse use</v>
      </c>
      <c r="CR16" s="344">
        <f>IFERROR(Input!F211/Input!F212,0)</f>
        <v>0</v>
      </c>
      <c r="CS16" s="143" t="str">
        <f>R16</f>
        <v>[%]</v>
      </c>
      <c r="CT16" s="178"/>
      <c r="CU16" s="178"/>
      <c r="CV16" s="178"/>
      <c r="CW16" s="178"/>
      <c r="CX16" s="178"/>
      <c r="CY16" s="178"/>
      <c r="CZ16" s="178"/>
      <c r="DA16" s="178"/>
      <c r="DB16" s="178"/>
      <c r="DC16" s="178"/>
      <c r="DD16" s="146"/>
      <c r="DE16" s="31"/>
      <c r="DF16" s="31"/>
      <c r="DG16" s="31"/>
      <c r="DH16" s="31"/>
      <c r="DI16" s="31"/>
      <c r="DJ16" s="31"/>
      <c r="DK16" s="31"/>
      <c r="DL16" s="31"/>
      <c r="DM16" s="31"/>
      <c r="DN16" s="31"/>
      <c r="DO16" s="31"/>
      <c r="DP16" s="31"/>
      <c r="DQ16" s="41"/>
      <c r="DR16" s="146"/>
      <c r="DS16" s="178" t="str">
        <f>P16</f>
        <v>Warehouse use</v>
      </c>
      <c r="DT16" s="344">
        <f>IFERROR(Input!F259/Input!F260,0)</f>
        <v>0</v>
      </c>
      <c r="DU16" s="143" t="str">
        <f>R16</f>
        <v>[%]</v>
      </c>
      <c r="DV16" s="178"/>
      <c r="DW16" s="178"/>
      <c r="DX16" s="178"/>
      <c r="DY16" s="178"/>
      <c r="DZ16" s="178"/>
      <c r="EA16" s="178"/>
      <c r="EB16" s="178"/>
      <c r="EC16" s="178"/>
      <c r="ED16" s="178"/>
      <c r="EE16" s="178"/>
      <c r="EF16" s="146"/>
      <c r="EG16" s="146"/>
      <c r="EH16" s="146"/>
      <c r="EI16" s="146"/>
      <c r="EJ16" s="146"/>
      <c r="EK16" s="146"/>
      <c r="EL16" s="146"/>
      <c r="EM16" s="146"/>
      <c r="EN16" s="146"/>
      <c r="EO16" s="146"/>
      <c r="EP16" s="146"/>
      <c r="EQ16" s="146"/>
      <c r="ER16" s="146"/>
      <c r="ES16" s="146"/>
      <c r="ET16" s="146"/>
      <c r="EU16" s="146"/>
      <c r="EV16" s="146"/>
      <c r="EW16" s="146"/>
      <c r="EX16" s="146"/>
      <c r="EY16" s="146"/>
      <c r="EZ16" s="146"/>
      <c r="FA16" s="146"/>
      <c r="FB16" s="146"/>
      <c r="FC16" s="146"/>
    </row>
    <row r="17" spans="2:159">
      <c r="B17" s="93"/>
      <c r="C17" s="93"/>
      <c r="D17" s="133"/>
      <c r="E17" s="93"/>
      <c r="F17" s="93"/>
      <c r="G17" s="93"/>
      <c r="H17" s="93"/>
      <c r="I17" s="93"/>
      <c r="J17" s="93"/>
      <c r="K17" s="93"/>
      <c r="L17" s="93"/>
      <c r="M17" s="93"/>
      <c r="N17" s="93"/>
      <c r="O17" s="93"/>
      <c r="V17" s="142"/>
      <c r="W17" s="93"/>
      <c r="X17" s="93"/>
      <c r="Y17" s="93"/>
      <c r="Z17" s="93"/>
      <c r="AA17" s="93"/>
      <c r="AB17" s="93"/>
      <c r="AC17" s="93"/>
      <c r="AD17" s="93"/>
      <c r="AE17" s="93"/>
      <c r="AF17" s="133"/>
      <c r="AG17" s="142"/>
      <c r="AH17" s="142"/>
      <c r="AI17" s="142"/>
      <c r="AJ17" s="142"/>
      <c r="AK17" s="142"/>
      <c r="AL17" s="142"/>
      <c r="AM17" s="142"/>
      <c r="AN17" s="142"/>
      <c r="AO17" s="142"/>
      <c r="AP17" s="142"/>
      <c r="AQ17" s="146"/>
      <c r="AR17" s="143"/>
      <c r="AS17" s="264"/>
      <c r="AT17" s="143"/>
      <c r="AU17" s="146"/>
      <c r="AV17" s="146"/>
      <c r="AW17" s="142"/>
      <c r="AX17" s="142"/>
      <c r="AY17" s="142"/>
      <c r="AZ17" s="142"/>
      <c r="BA17" s="142"/>
      <c r="BB17" s="142"/>
      <c r="BC17" s="142"/>
      <c r="BD17" s="142"/>
      <c r="BE17" s="142"/>
      <c r="BF17" s="142"/>
      <c r="BG17" s="133"/>
      <c r="BH17" s="142"/>
      <c r="BI17" s="142"/>
      <c r="BJ17" s="142"/>
      <c r="BK17" s="142"/>
      <c r="BL17" s="142"/>
      <c r="BM17" s="142"/>
      <c r="BN17" s="146"/>
      <c r="BO17" s="146"/>
      <c r="BP17" s="143"/>
      <c r="BQ17" s="264"/>
      <c r="BR17" s="178"/>
      <c r="BS17" s="146"/>
      <c r="BT17" s="146"/>
      <c r="BU17" s="142"/>
      <c r="BV17" s="142"/>
      <c r="BW17" s="142"/>
      <c r="BX17" s="142"/>
      <c r="BY17" s="142"/>
      <c r="BZ17" s="142"/>
      <c r="CA17" s="142"/>
      <c r="CB17" s="142"/>
      <c r="CC17" s="142"/>
      <c r="CD17" s="142"/>
      <c r="CE17" s="134"/>
      <c r="CF17" s="134"/>
      <c r="CG17" s="134"/>
      <c r="CH17" s="134"/>
      <c r="CI17" s="134"/>
      <c r="CJ17" s="134"/>
      <c r="CK17" s="134"/>
      <c r="CL17" s="134"/>
      <c r="CM17" s="134"/>
      <c r="CN17" s="134"/>
      <c r="CO17" s="142"/>
      <c r="CP17" s="146"/>
      <c r="CQ17" s="143"/>
      <c r="CR17" s="66"/>
      <c r="CS17" s="146"/>
      <c r="CT17" s="146"/>
      <c r="CU17" s="146"/>
      <c r="CV17" s="31"/>
      <c r="CW17" s="31"/>
      <c r="CX17" s="31"/>
      <c r="CY17" s="31"/>
      <c r="CZ17" s="31"/>
      <c r="DA17" s="31"/>
      <c r="DB17" s="31"/>
      <c r="DC17" s="31"/>
      <c r="DD17" s="146"/>
      <c r="DE17" s="31"/>
      <c r="DF17" s="31"/>
      <c r="DG17" s="31"/>
      <c r="DH17" s="31"/>
      <c r="DI17" s="31"/>
      <c r="DJ17" s="31"/>
      <c r="DK17" s="31"/>
      <c r="DL17" s="31"/>
      <c r="DM17" s="31"/>
      <c r="DN17" s="31"/>
      <c r="DO17" s="31"/>
      <c r="DP17" s="31"/>
      <c r="DQ17" s="41"/>
      <c r="DR17" s="146"/>
      <c r="DS17" s="178"/>
      <c r="DT17" s="184"/>
      <c r="DU17" s="178"/>
      <c r="DV17" s="146"/>
      <c r="DW17" s="146"/>
      <c r="DX17" s="142"/>
      <c r="DY17" s="142"/>
      <c r="DZ17" s="142"/>
      <c r="EA17" s="142"/>
      <c r="EB17" s="142"/>
      <c r="EC17" s="142"/>
      <c r="ED17" s="142"/>
      <c r="EE17" s="142"/>
      <c r="EF17" s="146"/>
      <c r="EG17" s="146"/>
      <c r="EH17" s="146"/>
      <c r="EI17" s="146"/>
      <c r="EJ17" s="146"/>
      <c r="EK17" s="146"/>
      <c r="EL17" s="146"/>
      <c r="EM17" s="146"/>
      <c r="EN17" s="146"/>
      <c r="EO17" s="146"/>
      <c r="EP17" s="146"/>
      <c r="EQ17" s="146"/>
      <c r="ER17" s="146"/>
      <c r="ES17" s="146"/>
      <c r="ET17" s="146"/>
      <c r="EU17" s="146"/>
      <c r="EV17" s="146"/>
      <c r="EW17" s="146"/>
      <c r="EX17" s="146"/>
      <c r="EY17" s="146"/>
      <c r="EZ17" s="146"/>
      <c r="FA17" s="146"/>
      <c r="FB17" s="146"/>
      <c r="FC17" s="146"/>
    </row>
    <row r="18" spans="2:159">
      <c r="B18" s="69" t="str">
        <f>VLOOKUP("Hidden_Calculation_Header_1_LCA_Processing",Hidden_Translations!$B$11:$J$1184,Hidden_Translations!$C$8,FALSE)</f>
        <v>#1: LCA: Processing</v>
      </c>
      <c r="C18" s="70"/>
      <c r="D18" s="70"/>
      <c r="E18" s="70"/>
      <c r="F18" s="70"/>
      <c r="G18" s="70"/>
      <c r="H18" s="70"/>
      <c r="I18" s="70"/>
      <c r="J18" s="69"/>
      <c r="K18" s="70"/>
      <c r="L18" s="70"/>
      <c r="M18" s="70"/>
      <c r="N18" s="70"/>
      <c r="O18" s="93"/>
      <c r="P18" s="69" t="str">
        <f>B18</f>
        <v>#1: LCA: Processing</v>
      </c>
      <c r="Q18" s="70"/>
      <c r="R18" s="70"/>
      <c r="S18" s="70"/>
      <c r="T18" s="70"/>
      <c r="U18" s="70"/>
      <c r="V18" s="70"/>
      <c r="W18" s="70"/>
      <c r="X18" s="70"/>
      <c r="Y18" s="69"/>
      <c r="Z18" s="70"/>
      <c r="AA18" s="70"/>
      <c r="AB18" s="70"/>
      <c r="AC18" s="93"/>
      <c r="AD18" s="69" t="str">
        <f>B18</f>
        <v>#1: LCA: Processing</v>
      </c>
      <c r="AE18" s="70"/>
      <c r="AF18" s="180"/>
      <c r="AG18" s="180"/>
      <c r="AH18" s="180"/>
      <c r="AI18" s="180"/>
      <c r="AJ18" s="180"/>
      <c r="AK18" s="180"/>
      <c r="AL18" s="69"/>
      <c r="AM18" s="180"/>
      <c r="AN18" s="180"/>
      <c r="AO18" s="180"/>
      <c r="AP18" s="180"/>
      <c r="AQ18" s="146"/>
      <c r="AR18" s="69" t="str">
        <f>B18</f>
        <v>#1: LCA: Processing</v>
      </c>
      <c r="AS18" s="180"/>
      <c r="AT18" s="180"/>
      <c r="AU18" s="180"/>
      <c r="AV18" s="180"/>
      <c r="AW18" s="180"/>
      <c r="AX18" s="180"/>
      <c r="AY18" s="180"/>
      <c r="AZ18" s="69"/>
      <c r="BA18" s="180"/>
      <c r="BB18" s="180"/>
      <c r="BC18" s="180"/>
      <c r="BD18" s="142"/>
      <c r="BE18" s="69" t="str">
        <f>B18</f>
        <v>#1: LCA: Processing</v>
      </c>
      <c r="BF18" s="180"/>
      <c r="BG18" s="180"/>
      <c r="BH18" s="180"/>
      <c r="BI18" s="180"/>
      <c r="BJ18" s="180"/>
      <c r="BK18" s="180"/>
      <c r="BL18" s="180"/>
      <c r="BM18" s="69"/>
      <c r="BN18" s="180"/>
      <c r="BO18" s="142"/>
      <c r="BP18" s="69" t="str">
        <f>B18</f>
        <v>#1: LCA: Processing</v>
      </c>
      <c r="BQ18" s="180"/>
      <c r="BR18" s="180"/>
      <c r="BS18" s="180"/>
      <c r="BT18" s="180"/>
      <c r="BU18" s="180"/>
      <c r="BV18" s="180"/>
      <c r="BW18" s="180"/>
      <c r="BX18" s="69"/>
      <c r="BY18" s="180"/>
      <c r="BZ18" s="180"/>
      <c r="CA18" s="180"/>
      <c r="CB18" s="142"/>
      <c r="CC18" s="69" t="str">
        <f>B18</f>
        <v>#1: LCA: Processing</v>
      </c>
      <c r="CD18" s="180"/>
      <c r="CE18" s="180"/>
      <c r="CF18" s="180"/>
      <c r="CG18" s="180"/>
      <c r="CH18" s="180"/>
      <c r="CI18" s="180"/>
      <c r="CJ18" s="180"/>
      <c r="CK18" s="69"/>
      <c r="CL18" s="180"/>
      <c r="CM18" s="180"/>
      <c r="CN18" s="180"/>
      <c r="CO18" s="180"/>
      <c r="CP18" s="146"/>
      <c r="CQ18" s="69" t="str">
        <f>B18</f>
        <v>#1: LCA: Processing</v>
      </c>
      <c r="CR18" s="180"/>
      <c r="CS18" s="180"/>
      <c r="CT18" s="180"/>
      <c r="CU18" s="180"/>
      <c r="CV18" s="180"/>
      <c r="CW18" s="180"/>
      <c r="CX18" s="180"/>
      <c r="CY18" s="180"/>
      <c r="CZ18" s="69"/>
      <c r="DA18" s="180"/>
      <c r="DB18" s="180"/>
      <c r="DC18" s="180"/>
      <c r="DD18" s="146"/>
      <c r="DE18" s="69" t="str">
        <f>B18</f>
        <v>#1: LCA: Processing</v>
      </c>
      <c r="DF18" s="180"/>
      <c r="DG18" s="180"/>
      <c r="DH18" s="180"/>
      <c r="DI18" s="180"/>
      <c r="DJ18" s="180"/>
      <c r="DK18" s="180"/>
      <c r="DL18" s="180"/>
      <c r="DM18" s="69"/>
      <c r="DN18" s="180"/>
      <c r="DO18" s="180"/>
      <c r="DP18" s="180"/>
      <c r="DQ18" s="180"/>
      <c r="DR18" s="146"/>
      <c r="DS18" s="69" t="str">
        <f>B18</f>
        <v>#1: LCA: Processing</v>
      </c>
      <c r="DT18" s="180"/>
      <c r="DU18" s="180"/>
      <c r="DV18" s="180"/>
      <c r="DW18" s="180"/>
      <c r="DX18" s="180"/>
      <c r="DY18" s="180"/>
      <c r="DZ18" s="180"/>
      <c r="EA18" s="180"/>
      <c r="EB18" s="69"/>
      <c r="EC18" s="180"/>
      <c r="ED18" s="180"/>
      <c r="EE18" s="180"/>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46"/>
      <c r="FB18" s="146"/>
      <c r="FC18" s="146"/>
    </row>
    <row r="19" spans="2:159" ht="45">
      <c r="B19" s="93"/>
      <c r="C19" s="93"/>
      <c r="D19" s="133"/>
      <c r="E19" s="93"/>
      <c r="F19" s="93"/>
      <c r="G19" s="93"/>
      <c r="H19" s="93"/>
      <c r="I19" s="93"/>
      <c r="J19" s="93"/>
      <c r="K19" s="93"/>
      <c r="L19" s="93"/>
      <c r="M19" s="93"/>
      <c r="N19" s="93"/>
      <c r="O19" s="93"/>
      <c r="P19" s="151"/>
      <c r="Q19" s="140" t="str">
        <f>VLOOKUP("Hidden_Calculation_Product_Transport",Hidden_Translations!$B$11:$J$1184,Hidden_Translations!$C$8,FALSE) &amp; " 1"</f>
        <v>Manufactured products to transport 1</v>
      </c>
      <c r="R19" s="89" t="str">
        <f>Input!F46</f>
        <v>Amount per batch (excluding packaging)</v>
      </c>
      <c r="S19" s="137">
        <f>Input!G46</f>
        <v>0</v>
      </c>
      <c r="T19" s="137"/>
      <c r="U19" s="160" t="str">
        <f>VLOOKUP("Hidden_Calculation_Waste_Type",Hidden_Translations!$B$11:$J$1184,Hidden_Translations!$C$8,FALSE)</f>
        <v>Waste type</v>
      </c>
      <c r="V19" s="64" t="str">
        <f t="shared" ref="V19:AA19" si="0">H32</f>
        <v>GWP</v>
      </c>
      <c r="W19" s="64" t="str">
        <f t="shared" si="0"/>
        <v>CED</v>
      </c>
      <c r="X19" s="64" t="str">
        <f t="shared" si="0"/>
        <v>AWARE</v>
      </c>
      <c r="Y19" s="154" t="str">
        <f t="shared" si="0"/>
        <v>GWP</v>
      </c>
      <c r="Z19" s="154" t="str">
        <f t="shared" si="0"/>
        <v>CED</v>
      </c>
      <c r="AA19" s="64" t="str">
        <f t="shared" si="0"/>
        <v>AWARE</v>
      </c>
      <c r="AB19" s="93"/>
      <c r="AC19" s="93"/>
      <c r="AD19" s="93"/>
      <c r="AE19" s="93"/>
      <c r="AF19" s="133"/>
      <c r="AG19" s="142"/>
      <c r="AH19" s="142"/>
      <c r="AI19" s="142"/>
      <c r="AJ19" s="142"/>
      <c r="AK19" s="142"/>
      <c r="AL19" s="142"/>
      <c r="AM19" s="142"/>
      <c r="AN19" s="142"/>
      <c r="AO19" s="142"/>
      <c r="AP19" s="142"/>
      <c r="AQ19" s="146"/>
      <c r="AR19" s="142"/>
      <c r="AS19" s="142"/>
      <c r="AT19" s="133"/>
      <c r="AU19" s="142"/>
      <c r="AV19" s="142"/>
      <c r="AW19" s="142"/>
      <c r="AX19" s="142"/>
      <c r="AY19" s="142"/>
      <c r="AZ19" s="142"/>
      <c r="BA19" s="142"/>
      <c r="BB19" s="142"/>
      <c r="BC19" s="142"/>
      <c r="BD19" s="142"/>
      <c r="BE19" s="142"/>
      <c r="BF19" s="142"/>
      <c r="BG19" s="133"/>
      <c r="BH19" s="142"/>
      <c r="BI19" s="142"/>
      <c r="BJ19" s="142"/>
      <c r="BK19" s="142"/>
      <c r="BL19" s="142"/>
      <c r="BM19" s="142"/>
      <c r="BN19" s="142"/>
      <c r="BO19" s="142"/>
      <c r="BP19" s="142"/>
      <c r="BQ19" s="142"/>
      <c r="BR19" s="133"/>
      <c r="BS19" s="142"/>
      <c r="BT19" s="142"/>
      <c r="BU19" s="142"/>
      <c r="BV19" s="142"/>
      <c r="BW19" s="142"/>
      <c r="BX19" s="142"/>
      <c r="BY19" s="142"/>
      <c r="BZ19" s="142"/>
      <c r="CA19" s="142"/>
      <c r="CB19" s="142"/>
      <c r="CC19" s="142"/>
      <c r="CD19" s="142"/>
      <c r="CE19" s="133"/>
      <c r="CF19" s="142"/>
      <c r="CG19" s="142"/>
      <c r="CH19" s="142"/>
      <c r="CI19" s="142"/>
      <c r="CJ19" s="142"/>
      <c r="CK19" s="142"/>
      <c r="CL19" s="142"/>
      <c r="CM19" s="142"/>
      <c r="CN19" s="142"/>
      <c r="CO19" s="142"/>
      <c r="CP19" s="146"/>
      <c r="CQ19" s="142"/>
      <c r="CR19" s="142"/>
      <c r="CS19" s="133"/>
      <c r="CT19" s="142"/>
      <c r="CU19" s="142"/>
      <c r="CV19" s="142"/>
      <c r="CW19" s="142"/>
      <c r="CX19" s="142"/>
      <c r="CY19" s="142"/>
      <c r="CZ19" s="142"/>
      <c r="DA19" s="142"/>
      <c r="DB19" s="142"/>
      <c r="DC19" s="142"/>
      <c r="DD19" s="142"/>
      <c r="DE19" s="142"/>
      <c r="DF19" s="142"/>
      <c r="DG19" s="133"/>
      <c r="DH19" s="142"/>
      <c r="DI19" s="142"/>
      <c r="DJ19" s="142"/>
      <c r="DK19" s="142"/>
      <c r="DL19" s="142"/>
      <c r="DM19" s="142"/>
      <c r="DN19" s="142"/>
      <c r="DO19" s="142"/>
      <c r="DP19" s="142"/>
      <c r="DQ19" s="41"/>
      <c r="DR19" s="146"/>
      <c r="DS19" s="142"/>
      <c r="DT19" s="142"/>
      <c r="DU19" s="133"/>
      <c r="DV19" s="142"/>
      <c r="DW19" s="142"/>
      <c r="DX19" s="142"/>
      <c r="DY19" s="142"/>
      <c r="DZ19" s="142"/>
      <c r="EA19" s="142"/>
      <c r="EB19" s="142"/>
      <c r="EC19" s="142"/>
      <c r="ED19" s="142"/>
      <c r="EE19" s="142"/>
      <c r="EF19" s="41"/>
      <c r="EG19" s="146"/>
      <c r="EH19" s="146"/>
      <c r="EI19" s="146"/>
      <c r="EJ19" s="146"/>
      <c r="EK19" s="146"/>
      <c r="EL19" s="146"/>
      <c r="EM19" s="146"/>
      <c r="EN19" s="146"/>
      <c r="EO19" s="146"/>
      <c r="EP19" s="146"/>
      <c r="EQ19" s="146"/>
      <c r="ER19" s="146"/>
      <c r="ES19" s="146"/>
      <c r="ET19" s="146"/>
      <c r="EU19" s="146"/>
      <c r="EV19" s="146"/>
      <c r="EW19" s="146"/>
      <c r="EX19" s="146"/>
      <c r="EY19" s="146"/>
      <c r="EZ19" s="146"/>
      <c r="FA19" s="146"/>
      <c r="FB19" s="146"/>
      <c r="FC19" s="146"/>
    </row>
    <row r="20" spans="2:159">
      <c r="B20" s="93"/>
      <c r="C20" s="93"/>
      <c r="D20" s="133"/>
      <c r="E20" s="93"/>
      <c r="F20" s="93"/>
      <c r="G20" s="93"/>
      <c r="H20" s="93"/>
      <c r="I20" s="93"/>
      <c r="J20" s="93"/>
      <c r="K20" s="93"/>
      <c r="L20" s="93"/>
      <c r="M20" s="93"/>
      <c r="N20" s="93"/>
      <c r="O20" s="93"/>
      <c r="P20" s="31"/>
      <c r="Q20" s="142"/>
      <c r="R20" s="146"/>
      <c r="S20" s="146"/>
      <c r="U20" s="160"/>
      <c r="V20" s="160" t="str">
        <f>VLOOKUP("Units_kg_CO2_unit",Hidden_Translations!$B$11:$J$1184,Hidden_Translations!$C$8,FALSE)</f>
        <v>[kg CO2 eq/unit]</v>
      </c>
      <c r="W20" s="160" t="str">
        <f>VLOOKUP("Units_MJ_unit",Hidden_Translations!$B$11:$J$1184,Hidden_Translations!$C$8,FALSE)</f>
        <v>[MJ/unit]</v>
      </c>
      <c r="X20" s="160" t="str">
        <f>VLOOKUP("Units_m3_unit",Hidden_Translations!$B$11:$J$1184,Hidden_Translations!$C$8,FALSE)</f>
        <v>[m³ eq/unit]</v>
      </c>
      <c r="Y20" s="160" t="str">
        <f>K33</f>
        <v>[kg CO2 eq.]</v>
      </c>
      <c r="Z20" s="160" t="str">
        <f>L33</f>
        <v>[MJ]</v>
      </c>
      <c r="AA20" s="160" t="str">
        <f>M33</f>
        <v>[m³]</v>
      </c>
      <c r="AB20" s="93"/>
      <c r="AC20" s="93"/>
      <c r="AD20" s="93"/>
      <c r="AE20" s="93"/>
      <c r="AF20" s="133"/>
      <c r="AG20" s="142"/>
      <c r="AH20" s="142"/>
      <c r="AI20" s="142"/>
      <c r="AJ20" s="142"/>
      <c r="AK20" s="142"/>
      <c r="AL20" s="142"/>
      <c r="AM20" s="142"/>
      <c r="AN20" s="142"/>
      <c r="AO20" s="142"/>
      <c r="AP20" s="142"/>
      <c r="AQ20" s="146"/>
      <c r="AR20" s="142"/>
      <c r="AS20" s="142"/>
      <c r="AT20" s="133"/>
      <c r="AU20" s="142"/>
      <c r="AV20" s="142"/>
      <c r="AW20" s="142"/>
      <c r="AX20" s="142"/>
      <c r="AY20" s="142"/>
      <c r="AZ20" s="142"/>
      <c r="BA20" s="142"/>
      <c r="BB20" s="142"/>
      <c r="BC20" s="142"/>
      <c r="BD20" s="142"/>
      <c r="BE20" s="142"/>
      <c r="BF20" s="142"/>
      <c r="BG20" s="133"/>
      <c r="BH20" s="142"/>
      <c r="BI20" s="142"/>
      <c r="BJ20" s="142"/>
      <c r="BK20" s="142"/>
      <c r="BL20" s="142"/>
      <c r="BM20" s="142"/>
      <c r="BN20" s="142"/>
      <c r="BO20" s="142"/>
      <c r="BP20" s="142"/>
      <c r="BQ20" s="142"/>
      <c r="BR20" s="133"/>
      <c r="BS20" s="142"/>
      <c r="BT20" s="142"/>
      <c r="BU20" s="142"/>
      <c r="BV20" s="142"/>
      <c r="BW20" s="142"/>
      <c r="BX20" s="142"/>
      <c r="BY20" s="142"/>
      <c r="BZ20" s="142"/>
      <c r="CA20" s="142"/>
      <c r="CB20" s="142"/>
      <c r="CC20" s="142"/>
      <c r="CD20" s="142"/>
      <c r="CE20" s="133"/>
      <c r="CF20" s="142"/>
      <c r="CG20" s="142"/>
      <c r="CH20" s="142"/>
      <c r="CI20" s="142"/>
      <c r="CJ20" s="142"/>
      <c r="CK20" s="142"/>
      <c r="CL20" s="142"/>
      <c r="CM20" s="142"/>
      <c r="CN20" s="142"/>
      <c r="CO20" s="142"/>
      <c r="CP20" s="146"/>
      <c r="CQ20" s="142"/>
      <c r="CR20" s="142"/>
      <c r="CS20" s="133"/>
      <c r="CT20" s="142"/>
      <c r="CU20" s="142"/>
      <c r="CV20" s="142"/>
      <c r="CW20" s="142"/>
      <c r="CX20" s="142"/>
      <c r="CY20" s="142"/>
      <c r="CZ20" s="142"/>
      <c r="DA20" s="142"/>
      <c r="DB20" s="142"/>
      <c r="DC20" s="142"/>
      <c r="DD20" s="142"/>
      <c r="DE20" s="142"/>
      <c r="DF20" s="142"/>
      <c r="DG20" s="133"/>
      <c r="DH20" s="142"/>
      <c r="DI20" s="142"/>
      <c r="DJ20" s="142"/>
      <c r="DK20" s="142"/>
      <c r="DL20" s="142"/>
      <c r="DM20" s="142"/>
      <c r="DN20" s="142"/>
      <c r="DO20" s="142"/>
      <c r="DP20" s="142"/>
      <c r="DQ20" s="41"/>
      <c r="DR20" s="146"/>
      <c r="DS20" s="142"/>
      <c r="DT20" s="142"/>
      <c r="DU20" s="133"/>
      <c r="DV20" s="142"/>
      <c r="DW20" s="142"/>
      <c r="DX20" s="142"/>
      <c r="DY20" s="142"/>
      <c r="DZ20" s="142"/>
      <c r="EA20" s="142"/>
      <c r="EB20" s="142"/>
      <c r="EC20" s="142"/>
      <c r="ED20" s="142"/>
      <c r="EE20" s="142"/>
      <c r="EF20" s="41"/>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row>
    <row r="21" spans="2:159">
      <c r="B21" s="93"/>
      <c r="C21" s="93"/>
      <c r="D21" s="133"/>
      <c r="E21" s="93"/>
      <c r="F21" s="93"/>
      <c r="G21" s="93"/>
      <c r="H21" s="93"/>
      <c r="I21" s="93"/>
      <c r="J21" s="93"/>
      <c r="K21" s="93"/>
      <c r="L21" s="93"/>
      <c r="M21" s="93"/>
      <c r="N21" s="93"/>
      <c r="O21" s="93"/>
      <c r="P21" s="143" t="str">
        <f>Input!B47</f>
        <v>Product 1</v>
      </c>
      <c r="Q21" s="309">
        <f>Input!D47</f>
        <v>0</v>
      </c>
      <c r="R21" s="309">
        <f>Input!F47</f>
        <v>0</v>
      </c>
      <c r="S21" s="318" t="str">
        <f>Input!G47</f>
        <v>[kg]</v>
      </c>
      <c r="T21" s="143"/>
      <c r="U21" s="319">
        <f>VLOOKUP($Q21,Hidden_Database!$C$11:$I$75,7,FALSE)</f>
        <v>0</v>
      </c>
      <c r="V21" s="320">
        <f>VLOOKUP($Q21,Hidden_Database!$C$11:$I$75,4,FALSE)</f>
        <v>0</v>
      </c>
      <c r="W21" s="320">
        <f>VLOOKUP($Q21,Hidden_Database!$C$11:$I$75,5,FALSE)</f>
        <v>0</v>
      </c>
      <c r="X21" s="321">
        <f>VLOOKUP($Q21,Hidden_Database!$C$11:$I$75,6,FALSE)</f>
        <v>0</v>
      </c>
      <c r="Y21" s="345">
        <f>$R21*V21</f>
        <v>0</v>
      </c>
      <c r="Z21" s="345">
        <f>$R21*W21</f>
        <v>0</v>
      </c>
      <c r="AA21" s="345">
        <f>$R$21*X21</f>
        <v>0</v>
      </c>
      <c r="AB21" s="143"/>
      <c r="AC21" s="93"/>
      <c r="AD21" s="93"/>
      <c r="AE21" s="93"/>
      <c r="AF21" s="133"/>
      <c r="AG21" s="142"/>
      <c r="AH21" s="142"/>
      <c r="AI21" s="142"/>
      <c r="AJ21" s="142"/>
      <c r="AK21" s="142"/>
      <c r="AL21" s="142"/>
      <c r="AM21" s="142"/>
      <c r="AN21" s="142"/>
      <c r="AO21" s="142"/>
      <c r="AP21" s="142"/>
      <c r="AQ21" s="146"/>
      <c r="AR21" s="142"/>
      <c r="AS21" s="142"/>
      <c r="AT21" s="133"/>
      <c r="AU21" s="142"/>
      <c r="AV21" s="142"/>
      <c r="AW21" s="142"/>
      <c r="AX21" s="142"/>
      <c r="AY21" s="142"/>
      <c r="AZ21" s="142"/>
      <c r="BA21" s="142"/>
      <c r="BB21" s="142"/>
      <c r="BC21" s="142"/>
      <c r="BD21" s="142"/>
      <c r="BE21" s="142"/>
      <c r="BF21" s="142"/>
      <c r="BG21" s="133"/>
      <c r="BH21" s="142"/>
      <c r="BI21" s="142"/>
      <c r="BJ21" s="142"/>
      <c r="BK21" s="142"/>
      <c r="BL21" s="142"/>
      <c r="BM21" s="142"/>
      <c r="BN21" s="142"/>
      <c r="BO21" s="142"/>
      <c r="BP21" s="142"/>
      <c r="BQ21" s="142"/>
      <c r="BR21" s="133"/>
      <c r="BS21" s="142"/>
      <c r="BT21" s="142"/>
      <c r="BU21" s="142"/>
      <c r="BV21" s="142"/>
      <c r="BW21" s="142"/>
      <c r="BX21" s="142"/>
      <c r="BY21" s="142"/>
      <c r="BZ21" s="142"/>
      <c r="CA21" s="142"/>
      <c r="CB21" s="142"/>
      <c r="CC21" s="142"/>
      <c r="CD21" s="142"/>
      <c r="CE21" s="133"/>
      <c r="CF21" s="142"/>
      <c r="CG21" s="142"/>
      <c r="CH21" s="142"/>
      <c r="CI21" s="142"/>
      <c r="CJ21" s="142"/>
      <c r="CK21" s="142"/>
      <c r="CL21" s="142"/>
      <c r="CM21" s="142"/>
      <c r="CN21" s="142"/>
      <c r="CO21" s="142"/>
      <c r="CP21" s="146"/>
      <c r="CQ21" s="142"/>
      <c r="CR21" s="142"/>
      <c r="CS21" s="133"/>
      <c r="CT21" s="142"/>
      <c r="CU21" s="142"/>
      <c r="CV21" s="142"/>
      <c r="CW21" s="142"/>
      <c r="CX21" s="142"/>
      <c r="CY21" s="142"/>
      <c r="CZ21" s="142"/>
      <c r="DA21" s="142"/>
      <c r="DB21" s="142"/>
      <c r="DC21" s="142"/>
      <c r="DD21" s="142"/>
      <c r="DE21" s="142"/>
      <c r="DF21" s="142"/>
      <c r="DG21" s="133"/>
      <c r="DH21" s="142"/>
      <c r="DI21" s="142"/>
      <c r="DJ21" s="142"/>
      <c r="DK21" s="142"/>
      <c r="DL21" s="142"/>
      <c r="DM21" s="142"/>
      <c r="DN21" s="142"/>
      <c r="DO21" s="142"/>
      <c r="DP21" s="142"/>
      <c r="DQ21" s="41"/>
      <c r="DR21" s="146"/>
      <c r="DS21" s="142"/>
      <c r="DT21" s="142"/>
      <c r="DU21" s="133"/>
      <c r="DV21" s="142"/>
      <c r="DW21" s="142"/>
      <c r="DX21" s="142"/>
      <c r="DY21" s="142"/>
      <c r="DZ21" s="142"/>
      <c r="EA21" s="142"/>
      <c r="EB21" s="142"/>
      <c r="EC21" s="142"/>
      <c r="ED21" s="142"/>
      <c r="EE21" s="142"/>
      <c r="EF21" s="41"/>
      <c r="EG21" s="146"/>
      <c r="EH21" s="146"/>
      <c r="EI21" s="146"/>
      <c r="EJ21" s="146"/>
      <c r="EK21" s="146"/>
      <c r="EL21" s="146"/>
      <c r="EM21" s="146"/>
      <c r="EN21" s="146"/>
      <c r="EO21" s="146"/>
      <c r="EP21" s="146"/>
      <c r="EQ21" s="146"/>
      <c r="ER21" s="146"/>
      <c r="ES21" s="146"/>
      <c r="ET21" s="146"/>
      <c r="EU21" s="146"/>
      <c r="EV21" s="146"/>
      <c r="EW21" s="146"/>
      <c r="EX21" s="146"/>
      <c r="EY21" s="146"/>
      <c r="EZ21" s="146"/>
      <c r="FA21" s="146"/>
      <c r="FB21" s="146"/>
      <c r="FC21" s="146"/>
    </row>
    <row r="22" spans="2:159">
      <c r="B22" s="93"/>
      <c r="C22" s="93"/>
      <c r="D22" s="133"/>
      <c r="E22" s="93"/>
      <c r="F22" s="93"/>
      <c r="G22" s="93"/>
      <c r="H22" s="93"/>
      <c r="I22" s="93"/>
      <c r="J22" s="93"/>
      <c r="K22" s="93"/>
      <c r="L22" s="93"/>
      <c r="M22" s="93"/>
      <c r="N22" s="93"/>
      <c r="O22" s="93"/>
      <c r="P22" s="143" t="str">
        <f>Input!B48</f>
        <v>Product 2</v>
      </c>
      <c r="Q22" s="309">
        <f>Input!D48</f>
        <v>0</v>
      </c>
      <c r="R22" s="309">
        <f>Input!F48</f>
        <v>0</v>
      </c>
      <c r="S22" s="318" t="str">
        <f>Input!G48</f>
        <v/>
      </c>
      <c r="T22" s="143"/>
      <c r="U22" s="319">
        <f>VLOOKUP($Q22,Hidden_Database!$C$11:$I$75,7,FALSE)</f>
        <v>0</v>
      </c>
      <c r="V22" s="320">
        <f>VLOOKUP($Q22,Hidden_Database!$C$11:$I$75,4,FALSE)</f>
        <v>0</v>
      </c>
      <c r="W22" s="320">
        <f>VLOOKUP($Q22,Hidden_Database!$C$11:$I$75,5,FALSE)</f>
        <v>0</v>
      </c>
      <c r="X22" s="321">
        <f>VLOOKUP($Q22,Hidden_Database!$C$11:$I$75,6,FALSE)</f>
        <v>0</v>
      </c>
      <c r="Y22" s="345">
        <f>$R22*V22</f>
        <v>0</v>
      </c>
      <c r="Z22" s="345">
        <f>$R22*W22</f>
        <v>0</v>
      </c>
      <c r="AA22" s="345">
        <f>$R22*X22</f>
        <v>0</v>
      </c>
      <c r="AB22" s="143"/>
      <c r="AC22" s="93"/>
      <c r="AD22" s="93"/>
      <c r="AE22" s="93"/>
      <c r="AF22" s="133"/>
      <c r="AG22" s="142"/>
      <c r="AH22" s="142"/>
      <c r="AI22" s="142"/>
      <c r="AJ22" s="142"/>
      <c r="AK22" s="142"/>
      <c r="AL22" s="142"/>
      <c r="AM22" s="142"/>
      <c r="AN22" s="142"/>
      <c r="AO22" s="142"/>
      <c r="AP22" s="142"/>
      <c r="AQ22" s="146"/>
      <c r="AR22" s="142"/>
      <c r="AS22" s="142"/>
      <c r="AT22" s="133"/>
      <c r="AU22" s="142"/>
      <c r="AV22" s="142"/>
      <c r="AW22" s="142"/>
      <c r="AX22" s="142"/>
      <c r="AY22" s="142"/>
      <c r="AZ22" s="142"/>
      <c r="BA22" s="142"/>
      <c r="BB22" s="142"/>
      <c r="BC22" s="142"/>
      <c r="BD22" s="142"/>
      <c r="BE22" s="142"/>
      <c r="BF22" s="142"/>
      <c r="BG22" s="133"/>
      <c r="BH22" s="142"/>
      <c r="BI22" s="142"/>
      <c r="BJ22" s="142"/>
      <c r="BK22" s="142"/>
      <c r="BL22" s="142"/>
      <c r="BM22" s="142"/>
      <c r="BN22" s="142"/>
      <c r="BO22" s="142"/>
      <c r="BP22" s="142"/>
      <c r="BQ22" s="142"/>
      <c r="BR22" s="133"/>
      <c r="BS22" s="142"/>
      <c r="BT22" s="142"/>
      <c r="BU22" s="142"/>
      <c r="BV22" s="142"/>
      <c r="BW22" s="142"/>
      <c r="BX22" s="142"/>
      <c r="BY22" s="142"/>
      <c r="BZ22" s="142"/>
      <c r="CA22" s="142"/>
      <c r="CB22" s="142"/>
      <c r="CC22" s="142"/>
      <c r="CD22" s="142"/>
      <c r="CE22" s="133"/>
      <c r="CF22" s="142"/>
      <c r="CG22" s="142"/>
      <c r="CH22" s="142"/>
      <c r="CI22" s="142"/>
      <c r="CJ22" s="142"/>
      <c r="CK22" s="142"/>
      <c r="CL22" s="142"/>
      <c r="CM22" s="142"/>
      <c r="CN22" s="142"/>
      <c r="CO22" s="142"/>
      <c r="CP22" s="146"/>
      <c r="CQ22" s="142"/>
      <c r="CR22" s="142"/>
      <c r="CS22" s="133"/>
      <c r="CT22" s="142"/>
      <c r="CU22" s="142"/>
      <c r="CV22" s="142"/>
      <c r="CW22" s="142"/>
      <c r="CX22" s="142"/>
      <c r="CY22" s="142"/>
      <c r="CZ22" s="142"/>
      <c r="DA22" s="142"/>
      <c r="DB22" s="142"/>
      <c r="DC22" s="142"/>
      <c r="DD22" s="142"/>
      <c r="DE22" s="142"/>
      <c r="DF22" s="142"/>
      <c r="DG22" s="133"/>
      <c r="DH22" s="142"/>
      <c r="DI22" s="142"/>
      <c r="DJ22" s="142"/>
      <c r="DK22" s="142"/>
      <c r="DL22" s="142"/>
      <c r="DM22" s="142"/>
      <c r="DN22" s="142"/>
      <c r="DO22" s="142"/>
      <c r="DP22" s="142"/>
      <c r="DQ22" s="41"/>
      <c r="DR22" s="146"/>
      <c r="DS22" s="142"/>
      <c r="DT22" s="142"/>
      <c r="DU22" s="133"/>
      <c r="DV22" s="142"/>
      <c r="DW22" s="142"/>
      <c r="DX22" s="142"/>
      <c r="DY22" s="142"/>
      <c r="DZ22" s="142"/>
      <c r="EA22" s="142"/>
      <c r="EB22" s="142"/>
      <c r="EC22" s="142"/>
      <c r="ED22" s="142"/>
      <c r="EE22" s="142"/>
      <c r="EF22" s="41"/>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row>
    <row r="23" spans="2:159">
      <c r="B23" s="93"/>
      <c r="C23" s="93"/>
      <c r="D23" s="133"/>
      <c r="E23" s="93"/>
      <c r="F23" s="93"/>
      <c r="G23" s="93"/>
      <c r="H23" s="93"/>
      <c r="I23" s="93"/>
      <c r="J23" s="93"/>
      <c r="K23" s="93"/>
      <c r="L23" s="93"/>
      <c r="M23" s="93"/>
      <c r="N23" s="93"/>
      <c r="O23" s="93"/>
      <c r="P23" s="93"/>
      <c r="Q23" s="62"/>
      <c r="R23" s="148"/>
      <c r="S23" s="93"/>
      <c r="T23" s="93"/>
      <c r="U23" s="93"/>
      <c r="V23" s="93"/>
      <c r="W23" s="93"/>
      <c r="X23" s="93"/>
      <c r="Y23" s="93"/>
      <c r="Z23" s="93"/>
      <c r="AA23" s="93"/>
      <c r="AB23" s="93"/>
      <c r="AC23" s="93"/>
      <c r="AD23" s="93"/>
      <c r="AE23" s="93"/>
      <c r="AF23" s="133"/>
      <c r="AG23" s="142"/>
      <c r="AH23" s="142"/>
      <c r="AI23" s="142"/>
      <c r="AJ23" s="142"/>
      <c r="AK23" s="142"/>
      <c r="AL23" s="142"/>
      <c r="AM23" s="142"/>
      <c r="AN23" s="142"/>
      <c r="AO23" s="142"/>
      <c r="AP23" s="142"/>
      <c r="AQ23" s="146"/>
      <c r="AR23" s="142"/>
      <c r="AS23" s="142"/>
      <c r="AT23" s="133"/>
      <c r="AU23" s="142"/>
      <c r="AV23" s="142"/>
      <c r="AW23" s="142"/>
      <c r="AX23" s="142"/>
      <c r="AY23" s="142"/>
      <c r="AZ23" s="142"/>
      <c r="BA23" s="142"/>
      <c r="BB23" s="142"/>
      <c r="BC23" s="142"/>
      <c r="BD23" s="142"/>
      <c r="BE23" s="142"/>
      <c r="BF23" s="142"/>
      <c r="BG23" s="133"/>
      <c r="BH23" s="142"/>
      <c r="BI23" s="142"/>
      <c r="BJ23" s="142"/>
      <c r="BK23" s="142"/>
      <c r="BL23" s="142"/>
      <c r="BM23" s="142"/>
      <c r="BN23" s="142"/>
      <c r="BO23" s="142"/>
      <c r="BP23" s="142"/>
      <c r="BQ23" s="142"/>
      <c r="BR23" s="133"/>
      <c r="BS23" s="142"/>
      <c r="BT23" s="142"/>
      <c r="BU23" s="142"/>
      <c r="BV23" s="142"/>
      <c r="BW23" s="142"/>
      <c r="BX23" s="142"/>
      <c r="BY23" s="142"/>
      <c r="BZ23" s="142"/>
      <c r="CA23" s="142"/>
      <c r="CB23" s="142"/>
      <c r="CC23" s="142"/>
      <c r="CD23" s="142"/>
      <c r="CE23" s="133"/>
      <c r="CF23" s="142"/>
      <c r="CG23" s="142"/>
      <c r="CH23" s="142"/>
      <c r="CI23" s="142"/>
      <c r="CJ23" s="142"/>
      <c r="CK23" s="142"/>
      <c r="CL23" s="142"/>
      <c r="CM23" s="142"/>
      <c r="CN23" s="142"/>
      <c r="CO23" s="142"/>
      <c r="CP23" s="146"/>
      <c r="CQ23" s="142"/>
      <c r="CR23" s="142"/>
      <c r="CS23" s="133"/>
      <c r="CT23" s="142"/>
      <c r="CU23" s="142"/>
      <c r="CV23" s="142"/>
      <c r="CW23" s="142"/>
      <c r="CX23" s="142"/>
      <c r="CY23" s="142"/>
      <c r="CZ23" s="142"/>
      <c r="DA23" s="142"/>
      <c r="DB23" s="142"/>
      <c r="DC23" s="142"/>
      <c r="DD23" s="142"/>
      <c r="DE23" s="142"/>
      <c r="DF23" s="142"/>
      <c r="DG23" s="133"/>
      <c r="DH23" s="142"/>
      <c r="DI23" s="142"/>
      <c r="DJ23" s="142"/>
      <c r="DK23" s="142"/>
      <c r="DL23" s="142"/>
      <c r="DM23" s="142"/>
      <c r="DN23" s="142"/>
      <c r="DO23" s="142"/>
      <c r="DP23" s="142"/>
      <c r="DQ23" s="41"/>
      <c r="DR23" s="146"/>
      <c r="DS23" s="142"/>
      <c r="DT23" s="142"/>
      <c r="DU23" s="133"/>
      <c r="DV23" s="142"/>
      <c r="DW23" s="142"/>
      <c r="DX23" s="142"/>
      <c r="DY23" s="142"/>
      <c r="DZ23" s="142"/>
      <c r="EA23" s="142"/>
      <c r="EB23" s="142"/>
      <c r="EC23" s="142"/>
      <c r="ED23" s="142"/>
      <c r="EE23" s="142"/>
      <c r="EF23" s="41"/>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6"/>
      <c r="FC23" s="146"/>
    </row>
    <row r="24" spans="2:159">
      <c r="B24" s="69" t="str">
        <f>VLOOKUP("Hidden_Calculation_Header_2_LCA_Packaging",Hidden_Translations!$B$11:$J$1184,Hidden_Translations!$C$8,FALSE)</f>
        <v>#2: LCA: Packaging</v>
      </c>
      <c r="C24" s="70"/>
      <c r="D24" s="70"/>
      <c r="E24" s="70"/>
      <c r="F24" s="70"/>
      <c r="G24" s="70"/>
      <c r="H24" s="70"/>
      <c r="I24" s="70"/>
      <c r="J24" s="69"/>
      <c r="K24" s="70"/>
      <c r="L24" s="70"/>
      <c r="M24" s="70"/>
      <c r="N24" s="70"/>
      <c r="O24" s="93"/>
      <c r="P24" s="69" t="str">
        <f>B24</f>
        <v>#2: LCA: Packaging</v>
      </c>
      <c r="Q24" s="70"/>
      <c r="R24" s="70"/>
      <c r="S24" s="70"/>
      <c r="T24" s="70"/>
      <c r="U24" s="70"/>
      <c r="V24" s="70"/>
      <c r="W24" s="70"/>
      <c r="X24" s="70"/>
      <c r="Y24" s="69"/>
      <c r="Z24" s="70"/>
      <c r="AA24" s="70"/>
      <c r="AB24" s="70"/>
      <c r="AC24" s="93"/>
      <c r="AD24" s="69" t="str">
        <f>B24</f>
        <v>#2: LCA: Packaging</v>
      </c>
      <c r="AE24" s="70"/>
      <c r="AF24" s="180"/>
      <c r="AG24" s="180"/>
      <c r="AH24" s="180"/>
      <c r="AI24" s="180"/>
      <c r="AJ24" s="180"/>
      <c r="AK24" s="180"/>
      <c r="AL24" s="69"/>
      <c r="AM24" s="180"/>
      <c r="AN24" s="180"/>
      <c r="AO24" s="180"/>
      <c r="AP24" s="180"/>
      <c r="AQ24" s="146"/>
      <c r="AR24" s="69" t="str">
        <f>B24</f>
        <v>#2: LCA: Packaging</v>
      </c>
      <c r="AS24" s="180"/>
      <c r="AT24" s="180"/>
      <c r="AU24" s="180"/>
      <c r="AV24" s="180"/>
      <c r="AW24" s="180"/>
      <c r="AX24" s="180"/>
      <c r="AY24" s="180"/>
      <c r="AZ24" s="69"/>
      <c r="BA24" s="180"/>
      <c r="BB24" s="180"/>
      <c r="BC24" s="180"/>
      <c r="BD24" s="142"/>
      <c r="BE24" s="69" t="str">
        <f>B24</f>
        <v>#2: LCA: Packaging</v>
      </c>
      <c r="BF24" s="180"/>
      <c r="BG24" s="180"/>
      <c r="BH24" s="180"/>
      <c r="BI24" s="180"/>
      <c r="BJ24" s="180"/>
      <c r="BK24" s="180"/>
      <c r="BL24" s="180"/>
      <c r="BM24" s="69"/>
      <c r="BN24" s="180"/>
      <c r="BO24" s="142"/>
      <c r="BP24" s="69" t="str">
        <f>B24</f>
        <v>#2: LCA: Packaging</v>
      </c>
      <c r="BQ24" s="180"/>
      <c r="BR24" s="180"/>
      <c r="BS24" s="180"/>
      <c r="BT24" s="180"/>
      <c r="BU24" s="180"/>
      <c r="BV24" s="180"/>
      <c r="BW24" s="180"/>
      <c r="BX24" s="69"/>
      <c r="BY24" s="180"/>
      <c r="BZ24" s="180"/>
      <c r="CA24" s="180"/>
      <c r="CB24" s="142"/>
      <c r="CC24" s="69" t="str">
        <f>B24</f>
        <v>#2: LCA: Packaging</v>
      </c>
      <c r="CD24" s="180"/>
      <c r="CE24" s="180"/>
      <c r="CF24" s="180"/>
      <c r="CG24" s="180"/>
      <c r="CH24" s="180"/>
      <c r="CI24" s="180"/>
      <c r="CJ24" s="180"/>
      <c r="CK24" s="69"/>
      <c r="CL24" s="180"/>
      <c r="CM24" s="180"/>
      <c r="CN24" s="180"/>
      <c r="CO24" s="180"/>
      <c r="CP24" s="146"/>
      <c r="CQ24" s="69" t="str">
        <f>B24</f>
        <v>#2: LCA: Packaging</v>
      </c>
      <c r="CR24" s="180"/>
      <c r="CS24" s="180"/>
      <c r="CT24" s="180"/>
      <c r="CU24" s="180"/>
      <c r="CV24" s="180"/>
      <c r="CW24" s="180"/>
      <c r="CX24" s="180"/>
      <c r="CY24" s="180"/>
      <c r="CZ24" s="69"/>
      <c r="DA24" s="180"/>
      <c r="DB24" s="180"/>
      <c r="DC24" s="180"/>
      <c r="DD24" s="146"/>
      <c r="DE24" s="69" t="str">
        <f>B24</f>
        <v>#2: LCA: Packaging</v>
      </c>
      <c r="DF24" s="180"/>
      <c r="DG24" s="180"/>
      <c r="DH24" s="180"/>
      <c r="DI24" s="180"/>
      <c r="DJ24" s="180"/>
      <c r="DK24" s="180"/>
      <c r="DL24" s="180"/>
      <c r="DM24" s="69"/>
      <c r="DN24" s="180"/>
      <c r="DO24" s="180"/>
      <c r="DP24" s="180"/>
      <c r="DQ24" s="180"/>
      <c r="DR24" s="146"/>
      <c r="DS24" s="69" t="str">
        <f>B24</f>
        <v>#2: LCA: Packaging</v>
      </c>
      <c r="DT24" s="180"/>
      <c r="DU24" s="180"/>
      <c r="DV24" s="180"/>
      <c r="DW24" s="180"/>
      <c r="DX24" s="180"/>
      <c r="DY24" s="180"/>
      <c r="DZ24" s="180"/>
      <c r="EA24" s="180"/>
      <c r="EB24" s="69"/>
      <c r="EC24" s="180"/>
      <c r="ED24" s="180"/>
      <c r="EE24" s="180"/>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row>
    <row r="25" spans="2:159">
      <c r="B25" s="93"/>
      <c r="C25" s="93"/>
      <c r="D25" s="133"/>
      <c r="E25" s="93"/>
      <c r="F25" s="93"/>
      <c r="G25" s="93"/>
      <c r="H25" s="93"/>
      <c r="I25" s="93"/>
      <c r="J25" s="93"/>
      <c r="K25" s="93"/>
      <c r="L25" s="93"/>
      <c r="M25" s="93"/>
      <c r="N25" s="93"/>
      <c r="O25" s="93"/>
      <c r="P25" s="150"/>
      <c r="Q25" s="140" t="str">
        <f>Input!B86</f>
        <v>Packaging materials</v>
      </c>
      <c r="R25" s="150"/>
      <c r="S25" s="150"/>
      <c r="T25" s="150"/>
      <c r="U25" s="141" t="str">
        <f t="shared" ref="U25:AA25" si="1">U19</f>
        <v>Waste type</v>
      </c>
      <c r="V25" s="64" t="str">
        <f t="shared" si="1"/>
        <v>GWP</v>
      </c>
      <c r="W25" s="64" t="str">
        <f t="shared" si="1"/>
        <v>CED</v>
      </c>
      <c r="X25" s="64" t="str">
        <f t="shared" si="1"/>
        <v>AWARE</v>
      </c>
      <c r="Y25" s="154" t="str">
        <f t="shared" si="1"/>
        <v>GWP</v>
      </c>
      <c r="Z25" s="154" t="str">
        <f t="shared" si="1"/>
        <v>CED</v>
      </c>
      <c r="AA25" s="64" t="str">
        <f t="shared" si="1"/>
        <v>AWARE</v>
      </c>
      <c r="AB25" s="93"/>
      <c r="AC25" s="93"/>
      <c r="AD25" s="93"/>
      <c r="AE25" s="93"/>
      <c r="AF25" s="133"/>
      <c r="AG25" s="142"/>
      <c r="AH25" s="142"/>
      <c r="AI25" s="142"/>
      <c r="AJ25" s="142"/>
      <c r="AK25" s="142"/>
      <c r="AL25" s="142"/>
      <c r="AM25" s="142"/>
      <c r="AN25" s="142"/>
      <c r="AO25" s="142"/>
      <c r="AP25" s="142"/>
      <c r="AQ25" s="146"/>
      <c r="AR25" s="142"/>
      <c r="AS25" s="142"/>
      <c r="AT25" s="133"/>
      <c r="AU25" s="142"/>
      <c r="AV25" s="142"/>
      <c r="AW25" s="142"/>
      <c r="AX25" s="142"/>
      <c r="AY25" s="142"/>
      <c r="AZ25" s="142"/>
      <c r="BA25" s="142"/>
      <c r="BB25" s="142"/>
      <c r="BC25" s="142"/>
      <c r="BD25" s="142"/>
      <c r="BE25" s="142"/>
      <c r="BF25" s="142"/>
      <c r="BG25" s="133"/>
      <c r="BH25" s="142"/>
      <c r="BI25" s="142"/>
      <c r="BJ25" s="142"/>
      <c r="BK25" s="142"/>
      <c r="BL25" s="142"/>
      <c r="BM25" s="142"/>
      <c r="BN25" s="146"/>
      <c r="BO25" s="146"/>
      <c r="BP25" s="31"/>
      <c r="BQ25" s="31"/>
      <c r="BR25" s="171"/>
      <c r="BS25" s="142"/>
      <c r="BT25" s="142"/>
      <c r="BU25" s="142"/>
      <c r="BV25" s="142"/>
      <c r="BW25" s="142"/>
      <c r="BX25" s="142"/>
      <c r="BY25" s="142"/>
      <c r="BZ25" s="142"/>
      <c r="CA25" s="142"/>
      <c r="CB25" s="142"/>
      <c r="CC25" s="142"/>
      <c r="CD25" s="142"/>
      <c r="CE25" s="134"/>
      <c r="CF25" s="134"/>
      <c r="CG25" s="134"/>
      <c r="CH25" s="134"/>
      <c r="CI25" s="134"/>
      <c r="CJ25" s="134"/>
      <c r="CK25" s="134"/>
      <c r="CL25" s="134"/>
      <c r="CM25" s="134"/>
      <c r="CN25" s="134"/>
      <c r="CO25" s="142"/>
      <c r="CP25" s="146"/>
      <c r="CQ25" s="31"/>
      <c r="CR25" s="31"/>
      <c r="CS25" s="171"/>
      <c r="CT25" s="167"/>
      <c r="CU25" s="167"/>
      <c r="CV25" s="31"/>
      <c r="CW25" s="31"/>
      <c r="CX25" s="31"/>
      <c r="CY25" s="31"/>
      <c r="CZ25" s="31"/>
      <c r="DA25" s="31"/>
      <c r="DB25" s="31"/>
      <c r="DC25" s="31"/>
      <c r="DD25" s="146"/>
      <c r="DE25" s="31"/>
      <c r="DF25" s="31"/>
      <c r="DG25" s="31"/>
      <c r="DH25" s="31"/>
      <c r="DI25" s="31"/>
      <c r="DJ25" s="31"/>
      <c r="DK25" s="31"/>
      <c r="DL25" s="31"/>
      <c r="DM25" s="31"/>
      <c r="DN25" s="31"/>
      <c r="DO25" s="31"/>
      <c r="DP25" s="31"/>
      <c r="DQ25" s="41"/>
      <c r="DR25" s="146"/>
      <c r="DS25" s="142"/>
      <c r="DT25" s="142"/>
      <c r="DU25" s="142"/>
      <c r="DV25" s="142"/>
      <c r="DW25" s="142"/>
      <c r="DX25" s="142"/>
      <c r="DY25" s="142"/>
      <c r="DZ25" s="142"/>
      <c r="EA25" s="142"/>
      <c r="EB25" s="142"/>
      <c r="EC25" s="142"/>
      <c r="ED25" s="142"/>
      <c r="EE25" s="142"/>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row>
    <row r="26" spans="2:159">
      <c r="B26" s="93"/>
      <c r="C26" s="93"/>
      <c r="D26" s="133"/>
      <c r="E26" s="93"/>
      <c r="F26" s="93"/>
      <c r="G26" s="93"/>
      <c r="H26" s="93"/>
      <c r="I26" s="93"/>
      <c r="J26" s="93"/>
      <c r="K26" s="93"/>
      <c r="L26" s="93"/>
      <c r="M26" s="93"/>
      <c r="N26" s="93"/>
      <c r="O26" s="93"/>
      <c r="P26" s="150"/>
      <c r="Q26" s="84"/>
      <c r="R26" s="83" t="str">
        <f>Input!B87</f>
        <v>Amount</v>
      </c>
      <c r="S26" s="86">
        <f>S19</f>
        <v>0</v>
      </c>
      <c r="T26" s="86"/>
      <c r="U26" s="141"/>
      <c r="V26" s="141" t="str">
        <f t="shared" ref="V26:AA26" si="2">V20</f>
        <v>[kg CO2 eq/unit]</v>
      </c>
      <c r="W26" s="141" t="str">
        <f t="shared" si="2"/>
        <v>[MJ/unit]</v>
      </c>
      <c r="X26" s="141" t="str">
        <f t="shared" si="2"/>
        <v>[m³ eq/unit]</v>
      </c>
      <c r="Y26" s="141" t="str">
        <f t="shared" si="2"/>
        <v>[kg CO2 eq.]</v>
      </c>
      <c r="Z26" s="141" t="str">
        <f t="shared" si="2"/>
        <v>[MJ]</v>
      </c>
      <c r="AA26" s="141" t="str">
        <f t="shared" si="2"/>
        <v>[m³]</v>
      </c>
      <c r="AB26" s="93"/>
      <c r="AC26" s="93"/>
      <c r="AD26" s="93"/>
      <c r="AE26" s="93"/>
      <c r="AF26" s="133"/>
      <c r="AG26" s="142"/>
      <c r="AH26" s="142"/>
      <c r="AI26" s="142"/>
      <c r="AJ26" s="142"/>
      <c r="AK26" s="142"/>
      <c r="AL26" s="142"/>
      <c r="AM26" s="142"/>
      <c r="AN26" s="142"/>
      <c r="AO26" s="142"/>
      <c r="AP26" s="142"/>
      <c r="AQ26" s="146"/>
      <c r="AR26" s="142"/>
      <c r="AS26" s="142"/>
      <c r="AT26" s="133"/>
      <c r="AU26" s="142"/>
      <c r="AV26" s="142"/>
      <c r="AW26" s="142"/>
      <c r="AX26" s="142"/>
      <c r="AY26" s="142"/>
      <c r="AZ26" s="142"/>
      <c r="BA26" s="142"/>
      <c r="BB26" s="142"/>
      <c r="BC26" s="142"/>
      <c r="BD26" s="142"/>
      <c r="BE26" s="142"/>
      <c r="BF26" s="142"/>
      <c r="BG26" s="133"/>
      <c r="BH26" s="142"/>
      <c r="BI26" s="142"/>
      <c r="BJ26" s="142"/>
      <c r="BK26" s="142"/>
      <c r="BL26" s="142"/>
      <c r="BM26" s="142"/>
      <c r="BN26" s="146"/>
      <c r="BO26" s="146"/>
      <c r="BP26" s="31"/>
      <c r="BQ26" s="31"/>
      <c r="BR26" s="171"/>
      <c r="BS26" s="142"/>
      <c r="BT26" s="142"/>
      <c r="BU26" s="142"/>
      <c r="BV26" s="142"/>
      <c r="BW26" s="142"/>
      <c r="BX26" s="142"/>
      <c r="BY26" s="142"/>
      <c r="BZ26" s="142"/>
      <c r="CA26" s="142"/>
      <c r="CB26" s="142"/>
      <c r="CC26" s="142"/>
      <c r="CD26" s="142"/>
      <c r="CE26" s="134"/>
      <c r="CF26" s="134"/>
      <c r="CG26" s="134"/>
      <c r="CH26" s="134"/>
      <c r="CI26" s="134"/>
      <c r="CJ26" s="134"/>
      <c r="CK26" s="134"/>
      <c r="CL26" s="134"/>
      <c r="CM26" s="134"/>
      <c r="CN26" s="134"/>
      <c r="CO26" s="142"/>
      <c r="CP26" s="146"/>
      <c r="CQ26" s="31"/>
      <c r="CR26" s="31"/>
      <c r="CS26" s="171"/>
      <c r="CT26" s="167"/>
      <c r="CU26" s="167"/>
      <c r="CV26" s="31"/>
      <c r="CW26" s="31"/>
      <c r="CX26" s="31"/>
      <c r="CY26" s="31"/>
      <c r="CZ26" s="31"/>
      <c r="DA26" s="31"/>
      <c r="DB26" s="31"/>
      <c r="DC26" s="31"/>
      <c r="DD26" s="146"/>
      <c r="DE26" s="31"/>
      <c r="DF26" s="31"/>
      <c r="DG26" s="31"/>
      <c r="DH26" s="31"/>
      <c r="DI26" s="31"/>
      <c r="DJ26" s="31"/>
      <c r="DK26" s="31"/>
      <c r="DL26" s="31"/>
      <c r="DM26" s="31"/>
      <c r="DN26" s="31"/>
      <c r="DO26" s="31"/>
      <c r="DP26" s="31"/>
      <c r="DQ26" s="41"/>
      <c r="DR26" s="146"/>
      <c r="DS26" s="142"/>
      <c r="DT26" s="142"/>
      <c r="DU26" s="142"/>
      <c r="DV26" s="142"/>
      <c r="DW26" s="142"/>
      <c r="DX26" s="142"/>
      <c r="DY26" s="142"/>
      <c r="DZ26" s="142"/>
      <c r="EA26" s="142"/>
      <c r="EB26" s="142"/>
      <c r="EC26" s="142"/>
      <c r="ED26" s="142"/>
      <c r="EE26" s="142"/>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row>
    <row r="27" spans="2:159">
      <c r="B27" s="93"/>
      <c r="C27" s="93"/>
      <c r="D27" s="133"/>
      <c r="E27" s="93"/>
      <c r="F27" s="93"/>
      <c r="G27" s="93"/>
      <c r="H27" s="93"/>
      <c r="I27" s="93"/>
      <c r="J27" s="93"/>
      <c r="K27" s="93"/>
      <c r="L27" s="93"/>
      <c r="M27" s="93"/>
      <c r="N27" s="93"/>
      <c r="O27" s="93"/>
      <c r="P27" s="143" t="str">
        <f>Input!E85</f>
        <v>Material 1</v>
      </c>
      <c r="Q27" s="309" t="str">
        <f>+Input!E86</f>
        <v/>
      </c>
      <c r="R27" s="309">
        <f>+Input!E87</f>
        <v>0</v>
      </c>
      <c r="S27" s="143" t="str">
        <f>Input!H87</f>
        <v>[kg]</v>
      </c>
      <c r="T27" s="143"/>
      <c r="U27" s="319">
        <f>VLOOKUP($Q27,Hidden_Database!$C$11:$I$75,7,FALSE)</f>
        <v>0</v>
      </c>
      <c r="V27" s="320">
        <f>VLOOKUP($Q27,Hidden_Database!$C$11:$I$75,4,FALSE)</f>
        <v>0</v>
      </c>
      <c r="W27" s="320">
        <f>VLOOKUP($Q27,Hidden_Database!$C$11:$I$75,5,FALSE)</f>
        <v>0</v>
      </c>
      <c r="X27" s="321">
        <f>VLOOKUP($Q27,Hidden_Database!$C$11:$I$75,6,FALSE)</f>
        <v>0</v>
      </c>
      <c r="Y27" s="345">
        <f t="shared" ref="Y27:AA29" si="3">$R27*V27</f>
        <v>0</v>
      </c>
      <c r="Z27" s="345">
        <f t="shared" si="3"/>
        <v>0</v>
      </c>
      <c r="AA27" s="345">
        <f t="shared" si="3"/>
        <v>0</v>
      </c>
      <c r="AB27" s="143"/>
      <c r="AC27" s="93"/>
      <c r="AD27" s="93"/>
      <c r="AE27" s="93"/>
      <c r="AF27" s="133"/>
      <c r="AG27" s="142"/>
      <c r="AH27" s="142"/>
      <c r="AI27" s="142"/>
      <c r="AJ27" s="142"/>
      <c r="AK27" s="142"/>
      <c r="AL27" s="142"/>
      <c r="AM27" s="142"/>
      <c r="AN27" s="142"/>
      <c r="AO27" s="142"/>
      <c r="AP27" s="142"/>
      <c r="AQ27" s="146"/>
      <c r="AR27" s="142"/>
      <c r="AS27" s="142"/>
      <c r="AT27" s="133"/>
      <c r="AU27" s="142"/>
      <c r="AV27" s="142"/>
      <c r="AW27" s="142"/>
      <c r="AX27" s="142"/>
      <c r="AY27" s="142"/>
      <c r="AZ27" s="142"/>
      <c r="BA27" s="142"/>
      <c r="BB27" s="142"/>
      <c r="BC27" s="142"/>
      <c r="BD27" s="142"/>
      <c r="BE27" s="142"/>
      <c r="BF27" s="142"/>
      <c r="BG27" s="133"/>
      <c r="BH27" s="142"/>
      <c r="BI27" s="142"/>
      <c r="BJ27" s="142"/>
      <c r="BK27" s="142"/>
      <c r="BL27" s="142"/>
      <c r="BM27" s="142"/>
      <c r="BN27" s="146"/>
      <c r="BO27" s="146"/>
      <c r="BP27" s="31"/>
      <c r="BQ27" s="31"/>
      <c r="BR27" s="171"/>
      <c r="BS27" s="142"/>
      <c r="BT27" s="142"/>
      <c r="BU27" s="142"/>
      <c r="BV27" s="142"/>
      <c r="BW27" s="142"/>
      <c r="BX27" s="142"/>
      <c r="BY27" s="142"/>
      <c r="BZ27" s="142"/>
      <c r="CA27" s="142"/>
      <c r="CB27" s="142"/>
      <c r="CC27" s="142"/>
      <c r="CD27" s="142"/>
      <c r="CE27" s="134"/>
      <c r="CF27" s="134"/>
      <c r="CG27" s="134"/>
      <c r="CH27" s="134"/>
      <c r="CI27" s="134"/>
      <c r="CJ27" s="134"/>
      <c r="CK27" s="134"/>
      <c r="CL27" s="134"/>
      <c r="CM27" s="134"/>
      <c r="CN27" s="134"/>
      <c r="CO27" s="142"/>
      <c r="CP27" s="146"/>
      <c r="CQ27" s="31"/>
      <c r="CR27" s="31"/>
      <c r="CS27" s="171"/>
      <c r="CT27" s="167"/>
      <c r="CU27" s="167"/>
      <c r="CV27" s="31"/>
      <c r="CW27" s="31"/>
      <c r="CX27" s="31"/>
      <c r="CY27" s="31"/>
      <c r="CZ27" s="31"/>
      <c r="DA27" s="31"/>
      <c r="DB27" s="31"/>
      <c r="DC27" s="31"/>
      <c r="DD27" s="146"/>
      <c r="DE27" s="31"/>
      <c r="DF27" s="31"/>
      <c r="DG27" s="31"/>
      <c r="DH27" s="31"/>
      <c r="DI27" s="31"/>
      <c r="DJ27" s="31"/>
      <c r="DK27" s="31"/>
      <c r="DL27" s="31"/>
      <c r="DM27" s="31"/>
      <c r="DN27" s="31"/>
      <c r="DO27" s="31"/>
      <c r="DP27" s="31"/>
      <c r="DQ27" s="41"/>
      <c r="DR27" s="146"/>
      <c r="DS27" s="142"/>
      <c r="DT27" s="142"/>
      <c r="DU27" s="142"/>
      <c r="DV27" s="142"/>
      <c r="DW27" s="142"/>
      <c r="DX27" s="142"/>
      <c r="DY27" s="142"/>
      <c r="DZ27" s="142"/>
      <c r="EA27" s="142"/>
      <c r="EB27" s="142"/>
      <c r="EC27" s="142"/>
      <c r="ED27" s="142"/>
      <c r="EE27" s="142"/>
      <c r="EF27" s="146"/>
      <c r="EG27" s="146"/>
      <c r="EH27" s="146"/>
      <c r="EI27" s="146"/>
      <c r="EJ27" s="146"/>
      <c r="EK27" s="146"/>
      <c r="EL27" s="146"/>
      <c r="EM27" s="146"/>
      <c r="EN27" s="146"/>
      <c r="EO27" s="146"/>
      <c r="EP27" s="146"/>
      <c r="EQ27" s="146"/>
      <c r="ER27" s="146"/>
      <c r="ES27" s="146"/>
      <c r="ET27" s="146"/>
      <c r="EU27" s="146"/>
      <c r="EV27" s="146"/>
      <c r="EW27" s="146"/>
      <c r="EX27" s="146"/>
      <c r="EY27" s="146"/>
      <c r="EZ27" s="146"/>
      <c r="FA27" s="146"/>
      <c r="FB27" s="146"/>
      <c r="FC27" s="146"/>
    </row>
    <row r="28" spans="2:159">
      <c r="B28" s="93"/>
      <c r="C28" s="93"/>
      <c r="D28" s="133"/>
      <c r="E28" s="93"/>
      <c r="F28" s="93"/>
      <c r="G28" s="93"/>
      <c r="H28" s="93"/>
      <c r="I28" s="93"/>
      <c r="J28" s="93"/>
      <c r="K28" s="93"/>
      <c r="L28" s="93"/>
      <c r="M28" s="93"/>
      <c r="N28" s="93"/>
      <c r="O28" s="93"/>
      <c r="P28" s="143" t="str">
        <f>Input!F85</f>
        <v>Material 2</v>
      </c>
      <c r="Q28" s="309" t="str">
        <f>+Input!F86</f>
        <v/>
      </c>
      <c r="R28" s="309">
        <f>+Input!F87</f>
        <v>0</v>
      </c>
      <c r="S28" s="143" t="str">
        <f>Input!H87</f>
        <v>[kg]</v>
      </c>
      <c r="T28" s="143"/>
      <c r="U28" s="319">
        <f>VLOOKUP($Q28,Hidden_Database!$C$11:$I$75,7,FALSE)</f>
        <v>0</v>
      </c>
      <c r="V28" s="320">
        <f>VLOOKUP($Q28,Hidden_Database!$C$11:$I$75,4,FALSE)</f>
        <v>0</v>
      </c>
      <c r="W28" s="320">
        <f>VLOOKUP($Q28,Hidden_Database!$C$11:$I$75,5,FALSE)</f>
        <v>0</v>
      </c>
      <c r="X28" s="321">
        <f>VLOOKUP($Q28,Hidden_Database!$C$11:$I$75,6,FALSE)</f>
        <v>0</v>
      </c>
      <c r="Y28" s="345">
        <f t="shared" si="3"/>
        <v>0</v>
      </c>
      <c r="Z28" s="345">
        <f t="shared" si="3"/>
        <v>0</v>
      </c>
      <c r="AA28" s="345">
        <f t="shared" si="3"/>
        <v>0</v>
      </c>
      <c r="AB28" s="143"/>
      <c r="AC28" s="93"/>
      <c r="AD28" s="93"/>
      <c r="AE28" s="93"/>
      <c r="AF28" s="133"/>
      <c r="AG28" s="142"/>
      <c r="AH28" s="142"/>
      <c r="AI28" s="142"/>
      <c r="AJ28" s="142"/>
      <c r="AK28" s="142"/>
      <c r="AL28" s="142"/>
      <c r="AM28" s="142"/>
      <c r="AN28" s="142"/>
      <c r="AO28" s="142"/>
      <c r="AP28" s="142"/>
      <c r="AQ28" s="146"/>
      <c r="AR28" s="142"/>
      <c r="AS28" s="142"/>
      <c r="AT28" s="133"/>
      <c r="AU28" s="142"/>
      <c r="AV28" s="142"/>
      <c r="AW28" s="142"/>
      <c r="AX28" s="142"/>
      <c r="AY28" s="142"/>
      <c r="AZ28" s="142"/>
      <c r="BA28" s="142"/>
      <c r="BB28" s="142"/>
      <c r="BC28" s="142"/>
      <c r="BD28" s="142"/>
      <c r="BE28" s="142"/>
      <c r="BF28" s="142"/>
      <c r="BG28" s="133"/>
      <c r="BH28" s="142"/>
      <c r="BI28" s="142"/>
      <c r="BJ28" s="142"/>
      <c r="BK28" s="142"/>
      <c r="BL28" s="142"/>
      <c r="BM28" s="142"/>
      <c r="BN28" s="146"/>
      <c r="BO28" s="146"/>
      <c r="BP28" s="31"/>
      <c r="BQ28" s="31"/>
      <c r="BR28" s="171"/>
      <c r="BS28" s="142"/>
      <c r="BT28" s="142"/>
      <c r="BU28" s="142"/>
      <c r="BV28" s="142"/>
      <c r="BW28" s="142"/>
      <c r="BX28" s="142"/>
      <c r="BY28" s="142"/>
      <c r="BZ28" s="142"/>
      <c r="CA28" s="142"/>
      <c r="CB28" s="142"/>
      <c r="CC28" s="142"/>
      <c r="CD28" s="142"/>
      <c r="CE28" s="134"/>
      <c r="CF28" s="134"/>
      <c r="CG28" s="134"/>
      <c r="CH28" s="134"/>
      <c r="CI28" s="134"/>
      <c r="CJ28" s="134"/>
      <c r="CK28" s="134"/>
      <c r="CL28" s="134"/>
      <c r="CM28" s="134"/>
      <c r="CN28" s="134"/>
      <c r="CO28" s="142"/>
      <c r="CP28" s="146"/>
      <c r="CQ28" s="31"/>
      <c r="CR28" s="31"/>
      <c r="CS28" s="171"/>
      <c r="CT28" s="167"/>
      <c r="CU28" s="167"/>
      <c r="CV28" s="31"/>
      <c r="CW28" s="31"/>
      <c r="CX28" s="31"/>
      <c r="CY28" s="31"/>
      <c r="CZ28" s="31"/>
      <c r="DA28" s="31"/>
      <c r="DB28" s="31"/>
      <c r="DC28" s="31"/>
      <c r="DD28" s="146"/>
      <c r="DE28" s="31"/>
      <c r="DF28" s="31"/>
      <c r="DG28" s="31"/>
      <c r="DH28" s="31"/>
      <c r="DI28" s="31"/>
      <c r="DJ28" s="31"/>
      <c r="DK28" s="31"/>
      <c r="DL28" s="31"/>
      <c r="DM28" s="31"/>
      <c r="DN28" s="31"/>
      <c r="DO28" s="31"/>
      <c r="DP28" s="31"/>
      <c r="DQ28" s="41"/>
      <c r="DR28" s="146"/>
      <c r="DS28" s="142"/>
      <c r="DT28" s="142"/>
      <c r="DU28" s="142"/>
      <c r="DV28" s="142"/>
      <c r="DW28" s="142"/>
      <c r="DX28" s="142"/>
      <c r="DY28" s="142"/>
      <c r="DZ28" s="142"/>
      <c r="EA28" s="142"/>
      <c r="EB28" s="142"/>
      <c r="EC28" s="142"/>
      <c r="ED28" s="142"/>
      <c r="EE28" s="142"/>
      <c r="EF28" s="146"/>
      <c r="EG28" s="146"/>
      <c r="EH28" s="146"/>
      <c r="EI28" s="146"/>
      <c r="EJ28" s="146"/>
      <c r="EK28" s="146"/>
      <c r="EL28" s="146"/>
      <c r="EM28" s="146"/>
      <c r="EN28" s="146"/>
      <c r="EO28" s="146"/>
      <c r="EP28" s="146"/>
      <c r="EQ28" s="146"/>
      <c r="ER28" s="146"/>
      <c r="ES28" s="146"/>
      <c r="ET28" s="146"/>
      <c r="EU28" s="146"/>
      <c r="EV28" s="146"/>
      <c r="EW28" s="146"/>
      <c r="EX28" s="146"/>
      <c r="EY28" s="146"/>
      <c r="EZ28" s="146"/>
      <c r="FA28" s="146"/>
      <c r="FB28" s="146"/>
      <c r="FC28" s="146"/>
    </row>
    <row r="29" spans="2:159">
      <c r="B29" s="93"/>
      <c r="C29" s="93"/>
      <c r="D29" s="133"/>
      <c r="E29" s="93"/>
      <c r="F29" s="93"/>
      <c r="G29" s="93"/>
      <c r="H29" s="93"/>
      <c r="I29" s="93"/>
      <c r="J29" s="93"/>
      <c r="K29" s="93"/>
      <c r="L29" s="93"/>
      <c r="M29" s="93"/>
      <c r="N29" s="93"/>
      <c r="O29" s="93"/>
      <c r="P29" s="143" t="str">
        <f>Input!G85</f>
        <v>Material 3</v>
      </c>
      <c r="Q29" s="309" t="str">
        <f>+Input!G86</f>
        <v/>
      </c>
      <c r="R29" s="309">
        <f>+Input!G87</f>
        <v>0</v>
      </c>
      <c r="S29" s="143" t="str">
        <f>Input!H87</f>
        <v>[kg]</v>
      </c>
      <c r="T29" s="143"/>
      <c r="U29" s="319">
        <f>VLOOKUP($Q29,Hidden_Database!$C$11:$I$75,7,FALSE)</f>
        <v>0</v>
      </c>
      <c r="V29" s="320">
        <f>VLOOKUP($Q29,Hidden_Database!$C$11:$I$75,4,FALSE)</f>
        <v>0</v>
      </c>
      <c r="W29" s="320">
        <f>VLOOKUP($Q29,Hidden_Database!$C$11:$I$75,5,FALSE)</f>
        <v>0</v>
      </c>
      <c r="X29" s="321">
        <f>VLOOKUP($Q29,Hidden_Database!$C$11:$I$75,6,FALSE)</f>
        <v>0</v>
      </c>
      <c r="Y29" s="345">
        <f t="shared" si="3"/>
        <v>0</v>
      </c>
      <c r="Z29" s="345">
        <f t="shared" si="3"/>
        <v>0</v>
      </c>
      <c r="AA29" s="345">
        <f t="shared" si="3"/>
        <v>0</v>
      </c>
      <c r="AB29" s="143"/>
      <c r="AC29" s="93"/>
      <c r="AD29" s="93"/>
      <c r="AE29" s="93"/>
      <c r="AF29" s="133"/>
      <c r="AG29" s="142"/>
      <c r="AH29" s="142"/>
      <c r="AI29" s="142"/>
      <c r="AJ29" s="142"/>
      <c r="AK29" s="142"/>
      <c r="AL29" s="142"/>
      <c r="AM29" s="142"/>
      <c r="AN29" s="142"/>
      <c r="AO29" s="142"/>
      <c r="AP29" s="142"/>
      <c r="AQ29" s="146"/>
      <c r="AR29" s="142"/>
      <c r="AS29" s="142"/>
      <c r="AT29" s="133"/>
      <c r="AU29" s="142"/>
      <c r="AV29" s="142"/>
      <c r="AW29" s="142"/>
      <c r="AX29" s="142"/>
      <c r="AY29" s="142"/>
      <c r="AZ29" s="142"/>
      <c r="BA29" s="142"/>
      <c r="BB29" s="142"/>
      <c r="BC29" s="142"/>
      <c r="BD29" s="142"/>
      <c r="BE29" s="142"/>
      <c r="BF29" s="142"/>
      <c r="BG29" s="133"/>
      <c r="BH29" s="142"/>
      <c r="BI29" s="142"/>
      <c r="BJ29" s="142"/>
      <c r="BK29" s="142"/>
      <c r="BL29" s="142"/>
      <c r="BM29" s="142"/>
      <c r="BN29" s="146"/>
      <c r="BO29" s="146"/>
      <c r="BP29" s="31"/>
      <c r="BQ29" s="31"/>
      <c r="BR29" s="171"/>
      <c r="BS29" s="142"/>
      <c r="BT29" s="142"/>
      <c r="BU29" s="142"/>
      <c r="BV29" s="142"/>
      <c r="BW29" s="142"/>
      <c r="BX29" s="142"/>
      <c r="BY29" s="142"/>
      <c r="BZ29" s="142"/>
      <c r="CA29" s="142"/>
      <c r="CB29" s="142"/>
      <c r="CC29" s="142"/>
      <c r="CD29" s="142"/>
      <c r="CE29" s="134"/>
      <c r="CF29" s="134"/>
      <c r="CG29" s="134"/>
      <c r="CH29" s="134"/>
      <c r="CI29" s="134"/>
      <c r="CJ29" s="134"/>
      <c r="CK29" s="134"/>
      <c r="CL29" s="134"/>
      <c r="CM29" s="134"/>
      <c r="CN29" s="134"/>
      <c r="CO29" s="142"/>
      <c r="CP29" s="146"/>
      <c r="CQ29" s="31"/>
      <c r="CR29" s="31"/>
      <c r="CS29" s="171"/>
      <c r="CT29" s="167"/>
      <c r="CU29" s="167"/>
      <c r="CV29" s="31"/>
      <c r="CW29" s="31"/>
      <c r="CX29" s="31"/>
      <c r="CY29" s="31"/>
      <c r="CZ29" s="31"/>
      <c r="DA29" s="31"/>
      <c r="DB29" s="31"/>
      <c r="DC29" s="31"/>
      <c r="DD29" s="146"/>
      <c r="DE29" s="31"/>
      <c r="DF29" s="31"/>
      <c r="DG29" s="31"/>
      <c r="DH29" s="31"/>
      <c r="DI29" s="31"/>
      <c r="DJ29" s="31"/>
      <c r="DK29" s="31"/>
      <c r="DL29" s="31"/>
      <c r="DM29" s="31"/>
      <c r="DN29" s="31"/>
      <c r="DO29" s="31"/>
      <c r="DP29" s="31"/>
      <c r="DQ29" s="41"/>
      <c r="DR29" s="146"/>
      <c r="DS29" s="142"/>
      <c r="DT29" s="142"/>
      <c r="DU29" s="142"/>
      <c r="DV29" s="142"/>
      <c r="DW29" s="142"/>
      <c r="DX29" s="142"/>
      <c r="DY29" s="142"/>
      <c r="DZ29" s="142"/>
      <c r="EA29" s="142"/>
      <c r="EB29" s="142"/>
      <c r="EC29" s="142"/>
      <c r="ED29" s="142"/>
      <c r="EE29" s="142"/>
      <c r="EF29" s="146"/>
      <c r="EG29" s="146"/>
      <c r="EH29" s="146"/>
      <c r="EI29" s="146"/>
      <c r="EJ29" s="146"/>
      <c r="EK29" s="146"/>
      <c r="EL29" s="146"/>
      <c r="EM29" s="146"/>
      <c r="EN29" s="146"/>
      <c r="EO29" s="146"/>
      <c r="EP29" s="146"/>
      <c r="EQ29" s="146"/>
      <c r="ER29" s="146"/>
      <c r="ES29" s="146"/>
      <c r="ET29" s="146"/>
      <c r="EU29" s="146"/>
      <c r="EV29" s="146"/>
      <c r="EW29" s="146"/>
      <c r="EX29" s="146"/>
      <c r="EY29" s="146"/>
      <c r="EZ29" s="146"/>
      <c r="FA29" s="146"/>
      <c r="FB29" s="146"/>
      <c r="FC29" s="146"/>
    </row>
    <row r="30" spans="2:159">
      <c r="B30" s="93"/>
      <c r="C30" s="93"/>
      <c r="D30" s="133"/>
      <c r="E30" s="93"/>
      <c r="F30" s="93"/>
      <c r="G30" s="93"/>
      <c r="H30" s="93"/>
      <c r="I30" s="93"/>
      <c r="J30" s="93"/>
      <c r="K30" s="93"/>
      <c r="L30" s="93"/>
      <c r="M30" s="93"/>
      <c r="N30" s="93"/>
      <c r="O30" s="93"/>
      <c r="P30" s="149"/>
      <c r="Q30" s="161"/>
      <c r="R30" s="161"/>
      <c r="S30" s="183"/>
      <c r="T30" s="183"/>
      <c r="U30" s="153"/>
      <c r="V30" s="62"/>
      <c r="W30" s="62"/>
      <c r="X30" s="109"/>
      <c r="Y30" s="62"/>
      <c r="Z30" s="62"/>
      <c r="AA30" s="62"/>
      <c r="AB30" s="93"/>
      <c r="AC30" s="93"/>
      <c r="AD30" s="93"/>
      <c r="AE30" s="93"/>
      <c r="AF30" s="133"/>
      <c r="AG30" s="142"/>
      <c r="AH30" s="142"/>
      <c r="AI30" s="142"/>
      <c r="AJ30" s="142"/>
      <c r="AK30" s="142"/>
      <c r="AL30" s="142"/>
      <c r="AM30" s="142"/>
      <c r="AN30" s="142"/>
      <c r="AO30" s="142"/>
      <c r="AP30" s="142"/>
      <c r="AQ30" s="146"/>
      <c r="AR30" s="142"/>
      <c r="AS30" s="142"/>
      <c r="AT30" s="133"/>
      <c r="AU30" s="142"/>
      <c r="AV30" s="142"/>
      <c r="AW30" s="142"/>
      <c r="AX30" s="142"/>
      <c r="AY30" s="142"/>
      <c r="AZ30" s="142"/>
      <c r="BA30" s="142"/>
      <c r="BB30" s="142"/>
      <c r="BC30" s="142"/>
      <c r="BD30" s="142"/>
      <c r="BE30" s="142"/>
      <c r="BF30" s="142"/>
      <c r="BG30" s="133"/>
      <c r="BH30" s="142"/>
      <c r="BI30" s="142"/>
      <c r="BJ30" s="142"/>
      <c r="BK30" s="142"/>
      <c r="BL30" s="142"/>
      <c r="BM30" s="142"/>
      <c r="BN30" s="146"/>
      <c r="BO30" s="146"/>
      <c r="BP30" s="31"/>
      <c r="BQ30" s="31"/>
      <c r="BR30" s="171"/>
      <c r="BS30" s="142"/>
      <c r="BT30" s="142"/>
      <c r="BU30" s="142"/>
      <c r="BV30" s="142"/>
      <c r="BW30" s="142"/>
      <c r="BX30" s="142"/>
      <c r="BY30" s="142"/>
      <c r="BZ30" s="142"/>
      <c r="CA30" s="142"/>
      <c r="CB30" s="142"/>
      <c r="CC30" s="142"/>
      <c r="CD30" s="142"/>
      <c r="CE30" s="134"/>
      <c r="CF30" s="134"/>
      <c r="CG30" s="134"/>
      <c r="CH30" s="134"/>
      <c r="CI30" s="134"/>
      <c r="CJ30" s="134"/>
      <c r="CK30" s="134"/>
      <c r="CL30" s="134"/>
      <c r="CM30" s="134"/>
      <c r="CN30" s="134"/>
      <c r="CO30" s="142"/>
      <c r="CP30" s="146"/>
      <c r="CQ30" s="31"/>
      <c r="CR30" s="31"/>
      <c r="CS30" s="171"/>
      <c r="CT30" s="167"/>
      <c r="CU30" s="167"/>
      <c r="CV30" s="31"/>
      <c r="CW30" s="31"/>
      <c r="CX30" s="31"/>
      <c r="CY30" s="31"/>
      <c r="CZ30" s="31"/>
      <c r="DA30" s="31"/>
      <c r="DB30" s="31"/>
      <c r="DC30" s="31"/>
      <c r="DD30" s="146"/>
      <c r="DE30" s="31"/>
      <c r="DF30" s="31"/>
      <c r="DG30" s="31"/>
      <c r="DH30" s="31"/>
      <c r="DI30" s="31"/>
      <c r="DJ30" s="31"/>
      <c r="DK30" s="31"/>
      <c r="DL30" s="31"/>
      <c r="DM30" s="31"/>
      <c r="DN30" s="31"/>
      <c r="DO30" s="31"/>
      <c r="DP30" s="31"/>
      <c r="DQ30" s="41"/>
      <c r="DR30" s="146"/>
      <c r="DS30" s="142"/>
      <c r="DT30" s="142"/>
      <c r="DU30" s="142"/>
      <c r="DV30" s="142"/>
      <c r="DW30" s="142"/>
      <c r="DX30" s="142"/>
      <c r="DY30" s="142"/>
      <c r="DZ30" s="142"/>
      <c r="EA30" s="142"/>
      <c r="EB30" s="142"/>
      <c r="EC30" s="142"/>
      <c r="ED30" s="142"/>
      <c r="EE30" s="142"/>
      <c r="EF30" s="146"/>
      <c r="EG30" s="146"/>
      <c r="EH30" s="146"/>
      <c r="EI30" s="146"/>
      <c r="EJ30" s="146"/>
      <c r="EK30" s="146"/>
      <c r="EL30" s="146"/>
      <c r="EM30" s="146"/>
      <c r="EN30" s="146"/>
      <c r="EO30" s="146"/>
      <c r="EP30" s="146"/>
      <c r="EQ30" s="146"/>
      <c r="ER30" s="146"/>
      <c r="ES30" s="146"/>
      <c r="ET30" s="146"/>
      <c r="EU30" s="146"/>
      <c r="EV30" s="146"/>
      <c r="EW30" s="146"/>
      <c r="EX30" s="146"/>
      <c r="EY30" s="146"/>
      <c r="EZ30" s="146"/>
      <c r="FA30" s="146"/>
      <c r="FB30" s="146"/>
      <c r="FC30" s="146"/>
    </row>
    <row r="31" spans="2:159" ht="15" customHeight="1">
      <c r="B31" s="69" t="str">
        <f>VLOOKUP("Hidden_Calculation_Header_3_LCA_Transport",Hidden_Translations!$B$11:$J$1184,Hidden_Translations!$C$8,FALSE)</f>
        <v>#3: LCA: Transport</v>
      </c>
      <c r="C31" s="70"/>
      <c r="D31" s="70"/>
      <c r="E31" s="70"/>
      <c r="F31" s="70"/>
      <c r="G31" s="70"/>
      <c r="H31" s="70"/>
      <c r="I31" s="70"/>
      <c r="J31" s="70"/>
      <c r="K31" s="69"/>
      <c r="L31" s="70"/>
      <c r="M31" s="70"/>
      <c r="N31" s="70"/>
      <c r="O31" s="93"/>
      <c r="P31" s="69" t="str">
        <f>B31</f>
        <v>#3: LCA: Transport</v>
      </c>
      <c r="Q31" s="70"/>
      <c r="R31" s="70"/>
      <c r="S31" s="70"/>
      <c r="T31" s="70"/>
      <c r="U31" s="70"/>
      <c r="V31" s="70"/>
      <c r="W31" s="70"/>
      <c r="X31" s="70"/>
      <c r="Y31" s="70"/>
      <c r="Z31" s="69"/>
      <c r="AA31" s="70"/>
      <c r="AB31" s="70"/>
      <c r="AC31" s="93"/>
      <c r="AD31" s="69" t="str">
        <f>B31</f>
        <v>#3: LCA: Transport</v>
      </c>
      <c r="AE31" s="70"/>
      <c r="AF31" s="180"/>
      <c r="AG31" s="180"/>
      <c r="AH31" s="180"/>
      <c r="AI31" s="180"/>
      <c r="AJ31" s="180"/>
      <c r="AK31" s="180"/>
      <c r="AL31" s="180"/>
      <c r="AM31" s="69"/>
      <c r="AN31" s="180"/>
      <c r="AO31" s="180"/>
      <c r="AP31" s="180"/>
      <c r="AQ31" s="146"/>
      <c r="AR31" s="69" t="str">
        <f>B31</f>
        <v>#3: LCA: Transport</v>
      </c>
      <c r="AS31" s="180"/>
      <c r="AT31" s="180"/>
      <c r="AU31" s="180"/>
      <c r="AV31" s="180"/>
      <c r="AW31" s="180"/>
      <c r="AX31" s="180"/>
      <c r="AY31" s="180"/>
      <c r="AZ31" s="180"/>
      <c r="BA31" s="69"/>
      <c r="BB31" s="180"/>
      <c r="BC31" s="265"/>
      <c r="BD31" s="142"/>
      <c r="BE31" s="69" t="str">
        <f>B31</f>
        <v>#3: LCA: Transport</v>
      </c>
      <c r="BF31" s="180"/>
      <c r="BG31" s="180"/>
      <c r="BH31" s="180"/>
      <c r="BI31" s="180"/>
      <c r="BJ31" s="180"/>
      <c r="BK31" s="180"/>
      <c r="BL31" s="180"/>
      <c r="BM31" s="69"/>
      <c r="BN31" s="180"/>
      <c r="BO31" s="146"/>
      <c r="BP31" s="69" t="str">
        <f>B31</f>
        <v>#3: LCA: Transport</v>
      </c>
      <c r="BQ31" s="180"/>
      <c r="BR31" s="180"/>
      <c r="BS31" s="180"/>
      <c r="BT31" s="180"/>
      <c r="BU31" s="180"/>
      <c r="BV31" s="180"/>
      <c r="BW31" s="180"/>
      <c r="BX31" s="180"/>
      <c r="BY31" s="69"/>
      <c r="BZ31" s="180"/>
      <c r="CA31" s="181"/>
      <c r="CB31" s="142"/>
      <c r="CC31" s="69" t="str">
        <f>B31</f>
        <v>#3: LCA: Transport</v>
      </c>
      <c r="CD31" s="180"/>
      <c r="CE31" s="180"/>
      <c r="CF31" s="180"/>
      <c r="CG31" s="180"/>
      <c r="CH31" s="180"/>
      <c r="CI31" s="180"/>
      <c r="CJ31" s="180"/>
      <c r="CK31" s="180"/>
      <c r="CL31" s="69"/>
      <c r="CM31" s="180"/>
      <c r="CN31" s="69"/>
      <c r="CO31" s="69"/>
      <c r="CP31" s="146"/>
      <c r="CQ31" s="69" t="str">
        <f>B31</f>
        <v>#3: LCA: Transport</v>
      </c>
      <c r="CR31" s="180"/>
      <c r="CS31" s="180"/>
      <c r="CT31" s="180"/>
      <c r="CU31" s="180"/>
      <c r="CV31" s="180"/>
      <c r="CW31" s="180"/>
      <c r="CX31" s="180"/>
      <c r="CY31" s="180"/>
      <c r="CZ31" s="180"/>
      <c r="DA31" s="69"/>
      <c r="DB31" s="180"/>
      <c r="DC31" s="69"/>
      <c r="DD31" s="69"/>
      <c r="DE31" s="69" t="str">
        <f>B31</f>
        <v>#3: LCA: Transport</v>
      </c>
      <c r="DF31" s="180"/>
      <c r="DG31" s="180"/>
      <c r="DH31" s="180"/>
      <c r="DI31" s="180"/>
      <c r="DJ31" s="180"/>
      <c r="DK31" s="180"/>
      <c r="DL31" s="180"/>
      <c r="DM31" s="180"/>
      <c r="DN31" s="69"/>
      <c r="DO31" s="180"/>
      <c r="DP31" s="180"/>
      <c r="DQ31" s="180"/>
      <c r="DR31" s="146"/>
      <c r="DS31" s="69" t="str">
        <f>B31</f>
        <v>#3: LCA: Transport</v>
      </c>
      <c r="DT31" s="180"/>
      <c r="DU31" s="180"/>
      <c r="DV31" s="180"/>
      <c r="DW31" s="180"/>
      <c r="DX31" s="180"/>
      <c r="DY31" s="180"/>
      <c r="DZ31" s="180"/>
      <c r="EA31" s="180"/>
      <c r="EB31" s="180"/>
      <c r="EC31" s="69"/>
      <c r="ED31" s="180"/>
      <c r="EE31" s="69"/>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row>
    <row r="32" spans="2:159" ht="15" customHeight="1">
      <c r="B32" s="93"/>
      <c r="C32" s="140" t="str">
        <f>Input!B61</f>
        <v>Type of vehicle</v>
      </c>
      <c r="D32" s="89" t="str">
        <f>Input!B62</f>
        <v>Distance</v>
      </c>
      <c r="E32" s="89" t="str">
        <f>Input!B63</f>
        <v>Travel time</v>
      </c>
      <c r="F32" s="145" t="str">
        <f>Input!B64</f>
        <v>Amount of transported raw material</v>
      </c>
      <c r="G32" s="138" t="str">
        <f>VLOOKUP("Hidden_Calculation_FuelConsumption",Hidden_Translations!$B$11:$J$1184,Hidden_Translations!$C$8,FALSE)</f>
        <v xml:space="preserve">Fuel consumption </v>
      </c>
      <c r="H32" s="138" t="str">
        <f>VLOOKUP("Hidden_Calculation_GWP",Hidden_Translations!$B$11:$J$1184,Hidden_Translations!$C$8,FALSE)</f>
        <v>GWP</v>
      </c>
      <c r="I32" s="89" t="str">
        <f>VLOOKUP("Hidden_Calculation_CED",Hidden_Translations!$B$11:$J$1184,Hidden_Translations!$C$8,FALSE)</f>
        <v>CED</v>
      </c>
      <c r="J32" s="89" t="str">
        <f>VLOOKUP("Hidden_Calculation_AWARE",Hidden_Translations!$B$11:$J$1184,Hidden_Translations!$C$8,FALSE)</f>
        <v>AWARE</v>
      </c>
      <c r="K32" s="145" t="str">
        <f>H32</f>
        <v>GWP</v>
      </c>
      <c r="L32" s="138" t="str">
        <f>I32</f>
        <v>CED</v>
      </c>
      <c r="M32" s="140" t="str">
        <f>J32</f>
        <v>AWARE</v>
      </c>
      <c r="N32" s="89" t="str">
        <f>VLOOKUP("Hidden_Calculation_Price",Hidden_Translations!$B$11:$J$1184,Hidden_Translations!$C$8,FALSE)</f>
        <v>Price</v>
      </c>
      <c r="O32" s="93"/>
      <c r="AC32" s="93"/>
      <c r="AD32" s="93"/>
      <c r="AE32" s="140" t="str">
        <f t="shared" ref="AE32:AP32" si="4">C32</f>
        <v>Type of vehicle</v>
      </c>
      <c r="AF32" s="89" t="str">
        <f t="shared" si="4"/>
        <v>Distance</v>
      </c>
      <c r="AG32" s="89" t="str">
        <f t="shared" si="4"/>
        <v>Travel time</v>
      </c>
      <c r="AH32" s="145" t="str">
        <f t="shared" si="4"/>
        <v>Amount of transported raw material</v>
      </c>
      <c r="AI32" s="138" t="str">
        <f t="shared" si="4"/>
        <v xml:space="preserve">Fuel consumption </v>
      </c>
      <c r="AJ32" s="140" t="str">
        <f t="shared" si="4"/>
        <v>GWP</v>
      </c>
      <c r="AK32" s="89" t="str">
        <f t="shared" si="4"/>
        <v>CED</v>
      </c>
      <c r="AL32" s="89" t="str">
        <f t="shared" si="4"/>
        <v>AWARE</v>
      </c>
      <c r="AM32" s="145" t="str">
        <f t="shared" si="4"/>
        <v>GWP</v>
      </c>
      <c r="AN32" s="138" t="str">
        <f t="shared" si="4"/>
        <v>CED</v>
      </c>
      <c r="AO32" s="140" t="str">
        <f t="shared" si="4"/>
        <v>AWARE</v>
      </c>
      <c r="AP32" s="89" t="str">
        <f t="shared" si="4"/>
        <v>Price</v>
      </c>
      <c r="AQ32" s="146"/>
      <c r="AR32" s="142"/>
      <c r="AS32" s="146"/>
      <c r="AT32" s="146"/>
      <c r="AU32" s="146"/>
      <c r="AV32" s="146"/>
      <c r="AW32" s="146"/>
      <c r="AX32" s="146"/>
      <c r="AY32" s="146"/>
      <c r="AZ32" s="146"/>
      <c r="BA32" s="146"/>
      <c r="BB32" s="146"/>
      <c r="BC32" s="146"/>
      <c r="BD32" s="142"/>
      <c r="BE32" s="142"/>
      <c r="BF32" s="140" t="str">
        <f>C32</f>
        <v>Type of vehicle</v>
      </c>
      <c r="BG32" s="89" t="str">
        <f>D32</f>
        <v>Distance</v>
      </c>
      <c r="BH32" s="63" t="str">
        <f>F32</f>
        <v>Amount of transported raw material</v>
      </c>
      <c r="BI32" s="140" t="str">
        <f t="shared" ref="BI32:BN33" si="5">H32</f>
        <v>GWP</v>
      </c>
      <c r="BJ32" s="140" t="str">
        <f t="shared" si="5"/>
        <v>CED</v>
      </c>
      <c r="BK32" s="140" t="str">
        <f t="shared" si="5"/>
        <v>AWARE</v>
      </c>
      <c r="BL32" s="140" t="str">
        <f t="shared" si="5"/>
        <v>GWP</v>
      </c>
      <c r="BM32" s="140" t="str">
        <f t="shared" si="5"/>
        <v>CED</v>
      </c>
      <c r="BN32" s="140" t="str">
        <f t="shared" si="5"/>
        <v>AWARE</v>
      </c>
      <c r="BO32" s="146"/>
      <c r="BP32" s="146"/>
      <c r="BQ32" s="146"/>
      <c r="BR32" s="146"/>
      <c r="BS32" s="146"/>
      <c r="BT32" s="146"/>
      <c r="BU32" s="146"/>
      <c r="BV32" s="146"/>
      <c r="BW32" s="146"/>
      <c r="BX32" s="146"/>
      <c r="BY32" s="146"/>
      <c r="BZ32" s="146"/>
      <c r="CA32" s="146"/>
      <c r="CB32" s="142"/>
      <c r="CC32" s="142"/>
      <c r="CD32" s="140" t="str">
        <f t="shared" ref="CD32:CO32" si="6">C32</f>
        <v>Type of vehicle</v>
      </c>
      <c r="CE32" s="140" t="str">
        <f t="shared" si="6"/>
        <v>Distance</v>
      </c>
      <c r="CF32" s="140" t="str">
        <f t="shared" si="6"/>
        <v>Travel time</v>
      </c>
      <c r="CG32" s="140" t="str">
        <f t="shared" si="6"/>
        <v>Amount of transported raw material</v>
      </c>
      <c r="CH32" s="140" t="str">
        <f t="shared" si="6"/>
        <v xml:space="preserve">Fuel consumption </v>
      </c>
      <c r="CI32" s="140" t="str">
        <f t="shared" si="6"/>
        <v>GWP</v>
      </c>
      <c r="CJ32" s="140" t="str">
        <f t="shared" si="6"/>
        <v>CED</v>
      </c>
      <c r="CK32" s="140" t="str">
        <f t="shared" si="6"/>
        <v>AWARE</v>
      </c>
      <c r="CL32" s="140" t="str">
        <f t="shared" si="6"/>
        <v>GWP</v>
      </c>
      <c r="CM32" s="140" t="str">
        <f t="shared" si="6"/>
        <v>CED</v>
      </c>
      <c r="CN32" s="140" t="str">
        <f t="shared" si="6"/>
        <v>AWARE</v>
      </c>
      <c r="CO32" s="140" t="str">
        <f t="shared" si="6"/>
        <v>Price</v>
      </c>
      <c r="CP32" s="146"/>
      <c r="CQ32" s="146"/>
      <c r="CR32" s="142"/>
      <c r="CS32" s="146"/>
      <c r="CT32" s="146"/>
      <c r="CU32" s="146"/>
      <c r="CV32" s="146"/>
      <c r="CW32" s="146"/>
      <c r="CX32" s="146"/>
      <c r="CY32" s="146"/>
      <c r="CZ32" s="146"/>
      <c r="DA32" s="146"/>
      <c r="DB32" s="146"/>
      <c r="DC32" s="146"/>
      <c r="DD32" s="146"/>
      <c r="DE32" s="142"/>
      <c r="DF32" s="140" t="str">
        <f t="shared" ref="DF32:DQ32" si="7">C32</f>
        <v>Type of vehicle</v>
      </c>
      <c r="DG32" s="89" t="str">
        <f t="shared" si="7"/>
        <v>Distance</v>
      </c>
      <c r="DH32" s="89" t="str">
        <f t="shared" si="7"/>
        <v>Travel time</v>
      </c>
      <c r="DI32" s="145" t="str">
        <f t="shared" si="7"/>
        <v>Amount of transported raw material</v>
      </c>
      <c r="DJ32" s="138" t="str">
        <f t="shared" si="7"/>
        <v xml:space="preserve">Fuel consumption </v>
      </c>
      <c r="DK32" s="140" t="str">
        <f t="shared" si="7"/>
        <v>GWP</v>
      </c>
      <c r="DL32" s="89" t="str">
        <f t="shared" si="7"/>
        <v>CED</v>
      </c>
      <c r="DM32" s="89" t="str">
        <f t="shared" si="7"/>
        <v>AWARE</v>
      </c>
      <c r="DN32" s="145" t="str">
        <f t="shared" si="7"/>
        <v>GWP</v>
      </c>
      <c r="DO32" s="138" t="str">
        <f t="shared" si="7"/>
        <v>CED</v>
      </c>
      <c r="DP32" s="140" t="str">
        <f t="shared" si="7"/>
        <v>AWARE</v>
      </c>
      <c r="DQ32" s="89" t="str">
        <f t="shared" si="7"/>
        <v>Price</v>
      </c>
      <c r="DR32" s="146"/>
      <c r="DS32" s="146"/>
      <c r="DT32" s="142"/>
      <c r="DU32" s="146"/>
      <c r="DV32" s="146"/>
      <c r="DW32" s="146"/>
      <c r="DX32" s="146"/>
      <c r="DY32" s="146"/>
      <c r="DZ32" s="146"/>
      <c r="EA32" s="146"/>
      <c r="EB32" s="146"/>
      <c r="EC32" s="146"/>
      <c r="ED32" s="146"/>
      <c r="EE32" s="146"/>
      <c r="EF32" s="146"/>
      <c r="EG32" s="146"/>
      <c r="EH32" s="146"/>
      <c r="EI32" s="146"/>
      <c r="EJ32" s="146"/>
      <c r="EK32" s="146"/>
      <c r="EL32" s="146"/>
      <c r="EM32" s="146"/>
      <c r="EN32" s="146"/>
      <c r="EO32" s="146"/>
      <c r="EP32" s="146"/>
      <c r="EQ32" s="146"/>
      <c r="ER32" s="146"/>
      <c r="ES32" s="146"/>
      <c r="ET32" s="146"/>
      <c r="EU32" s="146"/>
      <c r="EV32" s="146"/>
      <c r="EW32" s="146"/>
      <c r="EX32" s="146"/>
      <c r="EY32" s="146"/>
      <c r="EZ32" s="146"/>
      <c r="FA32" s="146"/>
      <c r="FB32" s="146"/>
      <c r="FC32" s="146"/>
    </row>
    <row r="33" spans="1:159" ht="15" customHeight="1">
      <c r="B33" s="137"/>
      <c r="C33" s="140"/>
      <c r="D33" s="89" t="str">
        <f>Input!H62</f>
        <v>[km]</v>
      </c>
      <c r="E33" s="89" t="str">
        <f>Input!H63</f>
        <v>[h]</v>
      </c>
      <c r="F33" s="89" t="str">
        <f>Input!H64</f>
        <v>[kg]</v>
      </c>
      <c r="G33" s="139" t="str">
        <f>VLOOKUP("Units_kg",Hidden_Translations!$B$11:$J$1184,Hidden_Translations!$C$8,FALSE)</f>
        <v>[kg]</v>
      </c>
      <c r="H33" s="64" t="str">
        <f>VLOOKUP("Units_kg_CO2_tkm",Hidden_Translations!$B$11:$J$1184,Hidden_Translations!$C$8,FALSE)</f>
        <v>[kg CO2 eq/tkm]</v>
      </c>
      <c r="I33" s="64" t="str">
        <f>VLOOKUP("Units_MJ_tkm",Hidden_Translations!$B$11:$J$1184,Hidden_Translations!$C$8,FALSE)</f>
        <v>[MJ/tkm]</v>
      </c>
      <c r="J33" s="64" t="str">
        <f>VLOOKUP("Units_m3_tkm",Hidden_Translations!$B$11:$J$1184,Hidden_Translations!$C$8,FALSE)</f>
        <v>[m³ eq./tkm]</v>
      </c>
      <c r="K33" s="64" t="str">
        <f>VLOOKUP("Units_kg_CO2_eq",Hidden_Translations!$B$11:$J$1184,Hidden_Translations!$C$8,FALSE)</f>
        <v>[kg CO2 eq.]</v>
      </c>
      <c r="L33" s="64" t="str">
        <f>VLOOKUP("Units_MJ",Hidden_Translations!$B$11:$J$1184,Hidden_Translations!$C$8,FALSE)</f>
        <v>[MJ]</v>
      </c>
      <c r="M33" s="64" t="str">
        <f>VLOOKUP("Units_m3",Hidden_Translations!$B$11:$J$1184,Hidden_Translations!$C$8,FALSE)</f>
        <v>[m³]</v>
      </c>
      <c r="N33" s="64" t="str">
        <f>VLOOKUP("Units_Euro",Hidden_Translations!$B$11:$J$1184,Hidden_Translations!$C$8,FALSE)</f>
        <v>[Euro]</v>
      </c>
      <c r="O33" s="93"/>
      <c r="AC33" s="93"/>
      <c r="AD33" s="137"/>
      <c r="AE33" s="140"/>
      <c r="AF33" s="89" t="str">
        <f t="shared" ref="AF33:AP33" si="8">D33</f>
        <v>[km]</v>
      </c>
      <c r="AG33" s="89" t="str">
        <f t="shared" si="8"/>
        <v>[h]</v>
      </c>
      <c r="AH33" s="89" t="str">
        <f t="shared" si="8"/>
        <v>[kg]</v>
      </c>
      <c r="AI33" s="139" t="str">
        <f t="shared" si="8"/>
        <v>[kg]</v>
      </c>
      <c r="AJ33" s="64" t="str">
        <f t="shared" si="8"/>
        <v>[kg CO2 eq/tkm]</v>
      </c>
      <c r="AK33" s="64" t="str">
        <f t="shared" si="8"/>
        <v>[MJ/tkm]</v>
      </c>
      <c r="AL33" s="64" t="str">
        <f t="shared" si="8"/>
        <v>[m³ eq./tkm]</v>
      </c>
      <c r="AM33" s="64" t="str">
        <f t="shared" si="8"/>
        <v>[kg CO2 eq.]</v>
      </c>
      <c r="AN33" s="64" t="str">
        <f t="shared" si="8"/>
        <v>[MJ]</v>
      </c>
      <c r="AO33" s="64" t="str">
        <f t="shared" si="8"/>
        <v>[m³]</v>
      </c>
      <c r="AP33" s="64" t="str">
        <f t="shared" si="8"/>
        <v>[Euro]</v>
      </c>
      <c r="AQ33" s="146"/>
      <c r="AR33" s="142"/>
      <c r="AS33" s="146"/>
      <c r="AT33" s="146"/>
      <c r="AU33" s="146"/>
      <c r="AV33" s="146"/>
      <c r="AW33" s="146"/>
      <c r="AX33" s="146"/>
      <c r="AY33" s="146"/>
      <c r="AZ33" s="146"/>
      <c r="BA33" s="146"/>
      <c r="BB33" s="146"/>
      <c r="BC33" s="146"/>
      <c r="BD33" s="142"/>
      <c r="BE33" s="137"/>
      <c r="BF33" s="140"/>
      <c r="BG33" s="89" t="str">
        <f>D33</f>
        <v>[km]</v>
      </c>
      <c r="BH33" s="63" t="str">
        <f>F33</f>
        <v>[kg]</v>
      </c>
      <c r="BI33" s="140" t="str">
        <f t="shared" si="5"/>
        <v>[kg CO2 eq/tkm]</v>
      </c>
      <c r="BJ33" s="140" t="str">
        <f t="shared" si="5"/>
        <v>[MJ/tkm]</v>
      </c>
      <c r="BK33" s="140" t="str">
        <f t="shared" si="5"/>
        <v>[m³ eq./tkm]</v>
      </c>
      <c r="BL33" s="140" t="str">
        <f t="shared" si="5"/>
        <v>[kg CO2 eq.]</v>
      </c>
      <c r="BM33" s="140" t="str">
        <f t="shared" si="5"/>
        <v>[MJ]</v>
      </c>
      <c r="BN33" s="140" t="str">
        <f t="shared" si="5"/>
        <v>[m³]</v>
      </c>
      <c r="BO33" s="146"/>
      <c r="BP33" s="146"/>
      <c r="BQ33" s="146"/>
      <c r="BR33" s="146"/>
      <c r="BS33" s="146"/>
      <c r="BT33" s="146"/>
      <c r="BU33" s="146"/>
      <c r="BV33" s="146"/>
      <c r="BW33" s="146"/>
      <c r="BX33" s="146"/>
      <c r="BY33" s="146"/>
      <c r="BZ33" s="146"/>
      <c r="CA33" s="146"/>
      <c r="CB33" s="142"/>
      <c r="CC33" s="146"/>
      <c r="CD33" s="142"/>
      <c r="CE33" s="140" t="str">
        <f t="shared" ref="CE33:CO33" si="9">D33</f>
        <v>[km]</v>
      </c>
      <c r="CF33" s="140" t="str">
        <f t="shared" si="9"/>
        <v>[h]</v>
      </c>
      <c r="CG33" s="140" t="str">
        <f t="shared" si="9"/>
        <v>[kg]</v>
      </c>
      <c r="CH33" s="140" t="str">
        <f t="shared" si="9"/>
        <v>[kg]</v>
      </c>
      <c r="CI33" s="140" t="str">
        <f t="shared" si="9"/>
        <v>[kg CO2 eq/tkm]</v>
      </c>
      <c r="CJ33" s="140" t="str">
        <f t="shared" si="9"/>
        <v>[MJ/tkm]</v>
      </c>
      <c r="CK33" s="140" t="str">
        <f t="shared" si="9"/>
        <v>[m³ eq./tkm]</v>
      </c>
      <c r="CL33" s="140" t="str">
        <f t="shared" si="9"/>
        <v>[kg CO2 eq.]</v>
      </c>
      <c r="CM33" s="140" t="str">
        <f t="shared" si="9"/>
        <v>[MJ]</v>
      </c>
      <c r="CN33" s="140" t="str">
        <f t="shared" si="9"/>
        <v>[m³]</v>
      </c>
      <c r="CO33" s="140" t="str">
        <f t="shared" si="9"/>
        <v>[Euro]</v>
      </c>
      <c r="CP33" s="146"/>
      <c r="CQ33" s="146"/>
      <c r="CR33" s="142"/>
      <c r="CS33" s="146"/>
      <c r="CT33" s="146"/>
      <c r="CU33" s="146"/>
      <c r="CV33" s="146"/>
      <c r="CW33" s="146"/>
      <c r="CX33" s="146"/>
      <c r="CY33" s="146"/>
      <c r="CZ33" s="146"/>
      <c r="DA33" s="146"/>
      <c r="DB33" s="146"/>
      <c r="DC33" s="146"/>
      <c r="DD33" s="146"/>
      <c r="DE33" s="137"/>
      <c r="DF33" s="140"/>
      <c r="DG33" s="89" t="str">
        <f t="shared" ref="DG33:DQ33" si="10">D33</f>
        <v>[km]</v>
      </c>
      <c r="DH33" s="89" t="str">
        <f t="shared" si="10"/>
        <v>[h]</v>
      </c>
      <c r="DI33" s="89" t="str">
        <f t="shared" si="10"/>
        <v>[kg]</v>
      </c>
      <c r="DJ33" s="139" t="str">
        <f t="shared" si="10"/>
        <v>[kg]</v>
      </c>
      <c r="DK33" s="64" t="str">
        <f t="shared" si="10"/>
        <v>[kg CO2 eq/tkm]</v>
      </c>
      <c r="DL33" s="64" t="str">
        <f t="shared" si="10"/>
        <v>[MJ/tkm]</v>
      </c>
      <c r="DM33" s="64" t="str">
        <f t="shared" si="10"/>
        <v>[m³ eq./tkm]</v>
      </c>
      <c r="DN33" s="64" t="str">
        <f t="shared" si="10"/>
        <v>[kg CO2 eq.]</v>
      </c>
      <c r="DO33" s="64" t="str">
        <f t="shared" si="10"/>
        <v>[MJ]</v>
      </c>
      <c r="DP33" s="64" t="str">
        <f t="shared" si="10"/>
        <v>[m³]</v>
      </c>
      <c r="DQ33" s="64" t="str">
        <f t="shared" si="10"/>
        <v>[Euro]</v>
      </c>
      <c r="DR33" s="146"/>
      <c r="DS33" s="146"/>
      <c r="DT33" s="142"/>
      <c r="DU33" s="146"/>
      <c r="DV33" s="146"/>
      <c r="DW33" s="146"/>
      <c r="DX33" s="146"/>
      <c r="DY33" s="146"/>
      <c r="DZ33" s="146"/>
      <c r="EA33" s="146"/>
      <c r="EB33" s="146"/>
      <c r="EC33" s="146"/>
      <c r="ED33" s="146"/>
      <c r="EE33" s="146"/>
      <c r="EF33" s="146"/>
      <c r="EG33" s="146"/>
      <c r="EH33" s="146"/>
      <c r="EI33" s="146"/>
      <c r="EJ33" s="146"/>
      <c r="EK33" s="146"/>
      <c r="EL33" s="146"/>
      <c r="EM33" s="146"/>
      <c r="EN33" s="146"/>
      <c r="EO33" s="146"/>
      <c r="EP33" s="146"/>
      <c r="EQ33" s="146"/>
      <c r="ER33" s="146"/>
      <c r="ES33" s="146"/>
      <c r="ET33" s="146"/>
      <c r="EU33" s="146"/>
      <c r="EV33" s="146"/>
      <c r="EW33" s="146"/>
      <c r="EX33" s="146"/>
      <c r="EY33" s="146"/>
      <c r="EZ33" s="146"/>
      <c r="FA33" s="146"/>
      <c r="FB33" s="146"/>
      <c r="FC33" s="146"/>
    </row>
    <row r="34" spans="1:159" ht="15" customHeight="1">
      <c r="A34" s="146"/>
      <c r="B34" s="90" t="str">
        <f>Input!C60</f>
        <v>Vehicle 1</v>
      </c>
      <c r="C34" s="309" t="str">
        <f>Input!C61</f>
        <v/>
      </c>
      <c r="D34" s="322">
        <f>+Input!C62</f>
        <v>0</v>
      </c>
      <c r="E34" s="322">
        <f>+Input!C63</f>
        <v>0</v>
      </c>
      <c r="F34" s="322">
        <f>+Input!C64</f>
        <v>0</v>
      </c>
      <c r="G34" s="346">
        <f>IFERROR(+D34*F34/1000*VLOOKUP(C34,Hidden_Database!$C$11:$H$14,7,FALSE),0)</f>
        <v>0</v>
      </c>
      <c r="H34" s="320">
        <f>VLOOKUP($C34,Hidden_Database!$C$11:$I$75,4,FALSE)</f>
        <v>0</v>
      </c>
      <c r="I34" s="320">
        <f>VLOOKUP($C34,Hidden_Database!$C$11:$I$75,5,FALSE)</f>
        <v>0</v>
      </c>
      <c r="J34" s="321">
        <f>VLOOKUP($C34,Hidden_Database!$C$11:$I$75,6,FALSE)</f>
        <v>0</v>
      </c>
      <c r="K34" s="345">
        <f t="shared" ref="K34:M38" si="11">$D34*$F34/1000*H34</f>
        <v>0</v>
      </c>
      <c r="L34" s="345">
        <f t="shared" si="11"/>
        <v>0</v>
      </c>
      <c r="M34" s="345">
        <f t="shared" si="11"/>
        <v>0</v>
      </c>
      <c r="N34" s="345">
        <f>G34*Hidden_Database!$J$66</f>
        <v>0</v>
      </c>
      <c r="O34" s="93"/>
      <c r="AC34" s="93"/>
      <c r="AD34" s="90" t="str">
        <f>B34</f>
        <v>Vehicle 1</v>
      </c>
      <c r="AE34" s="309" t="str">
        <f>+Input!C126</f>
        <v/>
      </c>
      <c r="AF34" s="323">
        <f>+Input!C127</f>
        <v>0</v>
      </c>
      <c r="AG34" s="323">
        <f>+Input!C128</f>
        <v>0</v>
      </c>
      <c r="AH34" s="323">
        <f>+Input!C129</f>
        <v>0</v>
      </c>
      <c r="AI34" s="347">
        <f>IFERROR(+AF34*AH34/1000*VLOOKUP(AE34,Hidden_Database!$C$11:$H$14,7,FALSE),0)</f>
        <v>0</v>
      </c>
      <c r="AJ34" s="320">
        <f>VLOOKUP($AE34,Hidden_Database!$C$11:$I$75,4,FALSE)</f>
        <v>0</v>
      </c>
      <c r="AK34" s="320">
        <f>VLOOKUP($AE34,Hidden_Database!$C$11:$I$75,5,FALSE)</f>
        <v>0</v>
      </c>
      <c r="AL34" s="321">
        <f>VLOOKUP($AE34,Hidden_Database!$C$11:$I$75,6,FALSE)</f>
        <v>0</v>
      </c>
      <c r="AM34" s="345">
        <f t="shared" ref="AM34:AO38" si="12">$AH34*$AF34/1000*AJ34</f>
        <v>0</v>
      </c>
      <c r="AN34" s="345">
        <f t="shared" si="12"/>
        <v>0</v>
      </c>
      <c r="AO34" s="345">
        <f t="shared" si="12"/>
        <v>0</v>
      </c>
      <c r="AP34" s="345">
        <f>AI34*Hidden_Database!$J$66</f>
        <v>0</v>
      </c>
      <c r="AQ34" s="146"/>
      <c r="AR34" s="142"/>
      <c r="AS34" s="146"/>
      <c r="AT34" s="146"/>
      <c r="AU34" s="146"/>
      <c r="AV34" s="146"/>
      <c r="AW34" s="146"/>
      <c r="AX34" s="146"/>
      <c r="AY34" s="146"/>
      <c r="AZ34" s="146"/>
      <c r="BA34" s="146"/>
      <c r="BB34" s="146"/>
      <c r="BC34" s="146"/>
      <c r="BD34" s="142"/>
      <c r="BE34" s="143" t="str">
        <f>B34</f>
        <v>Vehicle 1</v>
      </c>
      <c r="BF34" s="312" t="str">
        <f>+Input!C161</f>
        <v/>
      </c>
      <c r="BG34" s="323">
        <f>+Input!C162</f>
        <v>0</v>
      </c>
      <c r="BH34" s="324">
        <f>+Input!C163</f>
        <v>0</v>
      </c>
      <c r="BI34" s="320">
        <f>VLOOKUP($BF34,Hidden_Database!$C$11:$I$75,4,FALSE)</f>
        <v>0</v>
      </c>
      <c r="BJ34" s="320">
        <f>VLOOKUP($BF34,Hidden_Database!$C$11:$I$75,5,FALSE)</f>
        <v>0</v>
      </c>
      <c r="BK34" s="321">
        <f>VLOOKUP($BF34,Hidden_Database!$C$11:$I$75,6,FALSE)</f>
        <v>0</v>
      </c>
      <c r="BL34" s="345">
        <f t="shared" ref="BL34:BN38" si="13">$BG34*$BH34/1000*BI34</f>
        <v>0</v>
      </c>
      <c r="BM34" s="345">
        <f t="shared" si="13"/>
        <v>0</v>
      </c>
      <c r="BN34" s="345">
        <f t="shared" si="13"/>
        <v>0</v>
      </c>
      <c r="BO34" s="146"/>
      <c r="BP34" s="146"/>
      <c r="BQ34" s="146"/>
      <c r="BR34" s="146"/>
      <c r="BS34" s="146"/>
      <c r="BT34" s="146"/>
      <c r="BU34" s="146"/>
      <c r="BV34" s="146"/>
      <c r="BW34" s="146"/>
      <c r="BX34" s="146"/>
      <c r="BY34" s="146"/>
      <c r="BZ34" s="146"/>
      <c r="CA34" s="146"/>
      <c r="CB34" s="142"/>
      <c r="CC34" s="143" t="str">
        <f>B34</f>
        <v>Vehicle 1</v>
      </c>
      <c r="CD34" s="312" t="str">
        <f>+Input!C191</f>
        <v/>
      </c>
      <c r="CE34" s="323">
        <f>+Input!C192</f>
        <v>0</v>
      </c>
      <c r="CF34" s="323">
        <f>+Input!C193</f>
        <v>0</v>
      </c>
      <c r="CG34" s="323">
        <f>+Input!C194</f>
        <v>0</v>
      </c>
      <c r="CH34" s="347">
        <f>IFERROR(+CE34*CG34/1000*VLOOKUP(CD34,Hidden_Database!$C$11:$H$14,7,FALSE),0)</f>
        <v>0</v>
      </c>
      <c r="CI34" s="320">
        <f>VLOOKUP($CD34,Hidden_Database!$C$11:$I$75,4,FALSE)</f>
        <v>0</v>
      </c>
      <c r="CJ34" s="320">
        <f>VLOOKUP($CD34,Hidden_Database!$C$11:$I$75,5,FALSE)</f>
        <v>0</v>
      </c>
      <c r="CK34" s="321">
        <f>VLOOKUP($CD34,Hidden_Database!$C$11:$I$75,6,FALSE)</f>
        <v>0</v>
      </c>
      <c r="CL34" s="345">
        <f t="shared" ref="CL34:CN38" si="14">$CE34*$CG34/1000*CI34</f>
        <v>0</v>
      </c>
      <c r="CM34" s="345">
        <f t="shared" si="14"/>
        <v>0</v>
      </c>
      <c r="CN34" s="345">
        <f t="shared" si="14"/>
        <v>0</v>
      </c>
      <c r="CO34" s="345">
        <f>CH34*Hidden_Database!$J$66</f>
        <v>0</v>
      </c>
      <c r="CP34" s="146"/>
      <c r="CQ34" s="146"/>
      <c r="CR34" s="142"/>
      <c r="CS34" s="146"/>
      <c r="CT34" s="146"/>
      <c r="CU34" s="146"/>
      <c r="CV34" s="146"/>
      <c r="CW34" s="146"/>
      <c r="CX34" s="146"/>
      <c r="CY34" s="146"/>
      <c r="CZ34" s="146"/>
      <c r="DA34" s="146"/>
      <c r="DB34" s="146"/>
      <c r="DC34" s="146"/>
      <c r="DD34" s="146"/>
      <c r="DE34" s="143" t="str">
        <f>B34</f>
        <v>Vehicle 1</v>
      </c>
      <c r="DF34" s="312" t="str">
        <f>+Input!C239</f>
        <v/>
      </c>
      <c r="DG34" s="323">
        <f>+Input!C240</f>
        <v>0</v>
      </c>
      <c r="DH34" s="323">
        <f>+Input!C241</f>
        <v>0</v>
      </c>
      <c r="DI34" s="323">
        <f>+Input!C242</f>
        <v>0</v>
      </c>
      <c r="DJ34" s="347">
        <f>IFERROR(+DG34*DI34/1000*VLOOKUP(DF34,Hidden_Database!$C$11:$H$14,7,FALSE),0)</f>
        <v>0</v>
      </c>
      <c r="DK34" s="320">
        <f>VLOOKUP($DF34,Hidden_Database!$C$11:$I$75,4,FALSE)</f>
        <v>0</v>
      </c>
      <c r="DL34" s="320">
        <f>VLOOKUP($DF34,Hidden_Database!$C$11:$I$75,5,FALSE)</f>
        <v>0</v>
      </c>
      <c r="DM34" s="321">
        <f>VLOOKUP($DF34,Hidden_Database!$C$11:$I$75,6,FALSE)</f>
        <v>0</v>
      </c>
      <c r="DN34" s="345">
        <f t="shared" ref="DN34:DP38" si="15">$DG34*$DI34/1000*DK34</f>
        <v>0</v>
      </c>
      <c r="DO34" s="345">
        <f t="shared" si="15"/>
        <v>0</v>
      </c>
      <c r="DP34" s="345">
        <f t="shared" si="15"/>
        <v>0</v>
      </c>
      <c r="DQ34" s="345">
        <f>DJ34*Hidden_Database!J66</f>
        <v>0</v>
      </c>
      <c r="DR34" s="146"/>
      <c r="DS34" s="146"/>
      <c r="DT34" s="142"/>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6"/>
      <c r="EU34" s="146"/>
      <c r="EV34" s="146"/>
      <c r="EW34" s="146"/>
      <c r="EX34" s="146"/>
      <c r="EY34" s="146"/>
      <c r="EZ34" s="146"/>
      <c r="FA34" s="146"/>
      <c r="FB34" s="146"/>
      <c r="FC34" s="146"/>
    </row>
    <row r="35" spans="1:159" ht="15" customHeight="1">
      <c r="B35" s="90" t="str">
        <f>Input!D60</f>
        <v>Vehicle 2</v>
      </c>
      <c r="C35" s="309" t="str">
        <f>Input!D61</f>
        <v/>
      </c>
      <c r="D35" s="322">
        <f>+Input!D62</f>
        <v>0</v>
      </c>
      <c r="E35" s="322">
        <f>+Input!D63</f>
        <v>0</v>
      </c>
      <c r="F35" s="322">
        <f>+Input!D64</f>
        <v>0</v>
      </c>
      <c r="G35" s="346">
        <f>IFERROR(+D35*F35/1000*VLOOKUP(C35,Hidden_Database!$C$11:$H$14,7,FALSE),0)</f>
        <v>0</v>
      </c>
      <c r="H35" s="320">
        <f>VLOOKUP($C35,Hidden_Database!$C$11:$I$75,4,FALSE)</f>
        <v>0</v>
      </c>
      <c r="I35" s="320">
        <f>VLOOKUP($C35,Hidden_Database!$C$11:$I$75,5,FALSE)</f>
        <v>0</v>
      </c>
      <c r="J35" s="321">
        <f>VLOOKUP($C35,Hidden_Database!$C$11:$I$75,6,FALSE)</f>
        <v>0</v>
      </c>
      <c r="K35" s="345">
        <f t="shared" si="11"/>
        <v>0</v>
      </c>
      <c r="L35" s="345">
        <f t="shared" si="11"/>
        <v>0</v>
      </c>
      <c r="M35" s="345">
        <f t="shared" si="11"/>
        <v>0</v>
      </c>
      <c r="N35" s="345">
        <f>G35*Hidden_Database!$J$66</f>
        <v>0</v>
      </c>
      <c r="O35" s="93"/>
      <c r="AC35" s="93"/>
      <c r="AD35" s="90" t="str">
        <f>B35</f>
        <v>Vehicle 2</v>
      </c>
      <c r="AE35" s="309" t="str">
        <f>+Input!D126</f>
        <v/>
      </c>
      <c r="AF35" s="323">
        <f>+Input!D127</f>
        <v>0</v>
      </c>
      <c r="AG35" s="323">
        <f>+Input!D128</f>
        <v>0</v>
      </c>
      <c r="AH35" s="323">
        <f>+Input!D129</f>
        <v>0</v>
      </c>
      <c r="AI35" s="347">
        <f>IFERROR(+AF35*AH35/1000*VLOOKUP(AE35,Hidden_Database!$C$11:$H$14,7,FALSE),0)</f>
        <v>0</v>
      </c>
      <c r="AJ35" s="320">
        <f>VLOOKUP($AE35,Hidden_Database!$C$11:$I$75,4,FALSE)</f>
        <v>0</v>
      </c>
      <c r="AK35" s="320">
        <f>VLOOKUP($AE35,Hidden_Database!$C$11:$I$75,5,FALSE)</f>
        <v>0</v>
      </c>
      <c r="AL35" s="321">
        <f>VLOOKUP($AE35,Hidden_Database!$C$11:$I$75,6,FALSE)</f>
        <v>0</v>
      </c>
      <c r="AM35" s="345">
        <f t="shared" si="12"/>
        <v>0</v>
      </c>
      <c r="AN35" s="345">
        <f t="shared" si="12"/>
        <v>0</v>
      </c>
      <c r="AO35" s="345">
        <f t="shared" si="12"/>
        <v>0</v>
      </c>
      <c r="AP35" s="345">
        <f>AI35*Hidden_Database!$J$66</f>
        <v>0</v>
      </c>
      <c r="AQ35" s="146"/>
      <c r="AR35" s="142"/>
      <c r="AS35" s="146"/>
      <c r="AT35" s="146"/>
      <c r="AU35" s="146"/>
      <c r="AV35" s="146"/>
      <c r="AW35" s="146"/>
      <c r="AX35" s="146"/>
      <c r="AY35" s="146"/>
      <c r="AZ35" s="146"/>
      <c r="BA35" s="146"/>
      <c r="BB35" s="146"/>
      <c r="BC35" s="146"/>
      <c r="BD35" s="142"/>
      <c r="BE35" s="143" t="str">
        <f>B35</f>
        <v>Vehicle 2</v>
      </c>
      <c r="BF35" s="312" t="str">
        <f>+Input!D161</f>
        <v/>
      </c>
      <c r="BG35" s="323">
        <f>+Input!D162</f>
        <v>0</v>
      </c>
      <c r="BH35" s="324">
        <f>+Input!D163</f>
        <v>0</v>
      </c>
      <c r="BI35" s="320">
        <f>VLOOKUP($BF35,Hidden_Database!$C$11:$I$75,4,FALSE)</f>
        <v>0</v>
      </c>
      <c r="BJ35" s="320">
        <f>VLOOKUP($BF35,Hidden_Database!$C$11:$I$75,5,FALSE)</f>
        <v>0</v>
      </c>
      <c r="BK35" s="321">
        <f>VLOOKUP($BF35,Hidden_Database!$C$11:$I$75,6,FALSE)</f>
        <v>0</v>
      </c>
      <c r="BL35" s="345">
        <f t="shared" si="13"/>
        <v>0</v>
      </c>
      <c r="BM35" s="345">
        <f t="shared" si="13"/>
        <v>0</v>
      </c>
      <c r="BN35" s="345">
        <f t="shared" si="13"/>
        <v>0</v>
      </c>
      <c r="BO35" s="146"/>
      <c r="BP35" s="146"/>
      <c r="BQ35" s="146"/>
      <c r="BR35" s="146"/>
      <c r="BS35" s="146"/>
      <c r="BT35" s="146"/>
      <c r="BU35" s="146"/>
      <c r="BV35" s="146"/>
      <c r="BW35" s="146"/>
      <c r="BX35" s="146"/>
      <c r="BY35" s="146"/>
      <c r="BZ35" s="146"/>
      <c r="CA35" s="146"/>
      <c r="CB35" s="142"/>
      <c r="CC35" s="143" t="str">
        <f>B35</f>
        <v>Vehicle 2</v>
      </c>
      <c r="CD35" s="312" t="str">
        <f>+Input!D191</f>
        <v/>
      </c>
      <c r="CE35" s="323">
        <f>+Input!D192</f>
        <v>0</v>
      </c>
      <c r="CF35" s="323">
        <f>+Input!D193</f>
        <v>0</v>
      </c>
      <c r="CG35" s="323">
        <f>+Input!D194</f>
        <v>0</v>
      </c>
      <c r="CH35" s="347">
        <f>IFERROR(+CE35*CG35/1000*VLOOKUP(CD35,Hidden_Database!$C$11:$H$14,7,FALSE),0)</f>
        <v>0</v>
      </c>
      <c r="CI35" s="320">
        <f>VLOOKUP($CD35,Hidden_Database!$C$11:$I$75,4,FALSE)</f>
        <v>0</v>
      </c>
      <c r="CJ35" s="320">
        <f>VLOOKUP($CD35,Hidden_Database!$C$11:$I$75,5,FALSE)</f>
        <v>0</v>
      </c>
      <c r="CK35" s="321">
        <f>VLOOKUP($CD35,Hidden_Database!$C$11:$I$75,6,FALSE)</f>
        <v>0</v>
      </c>
      <c r="CL35" s="345">
        <f t="shared" si="14"/>
        <v>0</v>
      </c>
      <c r="CM35" s="345">
        <f t="shared" si="14"/>
        <v>0</v>
      </c>
      <c r="CN35" s="345">
        <f t="shared" si="14"/>
        <v>0</v>
      </c>
      <c r="CO35" s="345">
        <f>CH35*Hidden_Database!$J$66</f>
        <v>0</v>
      </c>
      <c r="CP35" s="146"/>
      <c r="CQ35" s="146"/>
      <c r="CR35" s="142"/>
      <c r="CS35" s="146"/>
      <c r="CT35" s="146"/>
      <c r="CU35" s="146"/>
      <c r="CV35" s="146"/>
      <c r="CW35" s="146"/>
      <c r="CX35" s="146"/>
      <c r="CY35" s="146"/>
      <c r="CZ35" s="146"/>
      <c r="DA35" s="146"/>
      <c r="DB35" s="146"/>
      <c r="DC35" s="146"/>
      <c r="DD35" s="146"/>
      <c r="DE35" s="143" t="str">
        <f>B35</f>
        <v>Vehicle 2</v>
      </c>
      <c r="DF35" s="312" t="str">
        <f>+Input!D239</f>
        <v/>
      </c>
      <c r="DG35" s="323">
        <f>+Input!D240</f>
        <v>0</v>
      </c>
      <c r="DH35" s="323">
        <f>+Input!D241</f>
        <v>0</v>
      </c>
      <c r="DI35" s="323">
        <f>+Input!D242</f>
        <v>0</v>
      </c>
      <c r="DJ35" s="347">
        <f>IFERROR(+DG35*DI35/1000*VLOOKUP(DF35,Hidden_Database!$C$11:$H$14,7,FALSE),0)</f>
        <v>0</v>
      </c>
      <c r="DK35" s="320">
        <f>VLOOKUP($DF35,Hidden_Database!$C$11:$I$75,4,FALSE)</f>
        <v>0</v>
      </c>
      <c r="DL35" s="320">
        <f>VLOOKUP($DF35,Hidden_Database!$C$11:$I$75,5,FALSE)</f>
        <v>0</v>
      </c>
      <c r="DM35" s="321">
        <f>VLOOKUP($DF35,Hidden_Database!$C$11:$I$75,6,FALSE)</f>
        <v>0</v>
      </c>
      <c r="DN35" s="345">
        <f t="shared" si="15"/>
        <v>0</v>
      </c>
      <c r="DO35" s="345">
        <f t="shared" si="15"/>
        <v>0</v>
      </c>
      <c r="DP35" s="345">
        <f t="shared" si="15"/>
        <v>0</v>
      </c>
      <c r="DQ35" s="345">
        <f>DJ35*Hidden_Database!J67</f>
        <v>0</v>
      </c>
      <c r="DR35" s="146"/>
      <c r="DS35" s="146"/>
      <c r="DT35" s="142"/>
      <c r="DU35" s="146"/>
      <c r="DV35" s="146"/>
      <c r="DW35" s="146"/>
      <c r="DX35" s="146"/>
      <c r="DY35" s="146"/>
      <c r="DZ35" s="146"/>
      <c r="EA35" s="146"/>
      <c r="EB35" s="146"/>
      <c r="EC35" s="146"/>
      <c r="ED35" s="146"/>
      <c r="EE35" s="146"/>
      <c r="EF35" s="146"/>
      <c r="EG35" s="146"/>
      <c r="EH35" s="146"/>
      <c r="EI35" s="146"/>
      <c r="EJ35" s="146"/>
      <c r="EK35" s="146"/>
      <c r="EL35" s="146"/>
      <c r="EM35" s="146"/>
      <c r="EN35" s="146"/>
      <c r="EO35" s="146"/>
      <c r="EP35" s="146"/>
      <c r="EQ35" s="146"/>
      <c r="ER35" s="146"/>
      <c r="ES35" s="146"/>
      <c r="ET35" s="146"/>
      <c r="EU35" s="146"/>
      <c r="EV35" s="146"/>
      <c r="EW35" s="146"/>
      <c r="EX35" s="146"/>
      <c r="EY35" s="146"/>
      <c r="EZ35" s="146"/>
      <c r="FA35" s="146"/>
      <c r="FB35" s="146"/>
      <c r="FC35" s="146"/>
    </row>
    <row r="36" spans="1:159" ht="15" customHeight="1">
      <c r="B36" s="90" t="str">
        <f>Input!E60</f>
        <v>Vehicle 3</v>
      </c>
      <c r="C36" s="309" t="str">
        <f>Input!E61</f>
        <v/>
      </c>
      <c r="D36" s="322">
        <f>+Input!E62</f>
        <v>0</v>
      </c>
      <c r="E36" s="322">
        <f>+Input!E63</f>
        <v>0</v>
      </c>
      <c r="F36" s="322">
        <f>+Input!E64</f>
        <v>0</v>
      </c>
      <c r="G36" s="346">
        <f>IFERROR(+D36*F36/1000*VLOOKUP(C36,Hidden_Database!$C$11:$H$14,7,FALSE),0)</f>
        <v>0</v>
      </c>
      <c r="H36" s="320">
        <f>VLOOKUP($C36,Hidden_Database!$C$11:$I$75,4,FALSE)</f>
        <v>0</v>
      </c>
      <c r="I36" s="320">
        <f>VLOOKUP($C36,Hidden_Database!$C$11:$I$75,5,FALSE)</f>
        <v>0</v>
      </c>
      <c r="J36" s="321">
        <f>VLOOKUP($C36,Hidden_Database!$C$11:$I$75,6,FALSE)</f>
        <v>0</v>
      </c>
      <c r="K36" s="345">
        <f t="shared" si="11"/>
        <v>0</v>
      </c>
      <c r="L36" s="345">
        <f t="shared" si="11"/>
        <v>0</v>
      </c>
      <c r="M36" s="345">
        <f t="shared" si="11"/>
        <v>0</v>
      </c>
      <c r="N36" s="345">
        <f>G36*Hidden_Database!$J$66</f>
        <v>0</v>
      </c>
      <c r="AC36" s="93"/>
      <c r="AD36" s="90" t="str">
        <f>B36</f>
        <v>Vehicle 3</v>
      </c>
      <c r="AE36" s="309" t="str">
        <f>+Input!E126</f>
        <v/>
      </c>
      <c r="AF36" s="323">
        <f>+Input!E127</f>
        <v>0</v>
      </c>
      <c r="AG36" s="323">
        <f>+Input!E128</f>
        <v>0</v>
      </c>
      <c r="AH36" s="323">
        <f>+Input!E129</f>
        <v>0</v>
      </c>
      <c r="AI36" s="347">
        <f>IFERROR(+AF36*AH36/1000*VLOOKUP(AE36,Hidden_Database!$C$11:$H$14,7,FALSE),0)</f>
        <v>0</v>
      </c>
      <c r="AJ36" s="320">
        <f>VLOOKUP($AE36,Hidden_Database!$C$11:$I$75,4,FALSE)</f>
        <v>0</v>
      </c>
      <c r="AK36" s="320">
        <f>VLOOKUP($AE36,Hidden_Database!$C$11:$I$75,5,FALSE)</f>
        <v>0</v>
      </c>
      <c r="AL36" s="321">
        <f>VLOOKUP($AE36,Hidden_Database!$C$11:$I$75,6,FALSE)</f>
        <v>0</v>
      </c>
      <c r="AM36" s="345">
        <f t="shared" si="12"/>
        <v>0</v>
      </c>
      <c r="AN36" s="345">
        <f t="shared" si="12"/>
        <v>0</v>
      </c>
      <c r="AO36" s="345">
        <f t="shared" si="12"/>
        <v>0</v>
      </c>
      <c r="AP36" s="345">
        <f>AI36*Hidden_Database!$J$66</f>
        <v>0</v>
      </c>
      <c r="AQ36" s="146"/>
      <c r="AR36" s="142"/>
      <c r="AS36" s="146"/>
      <c r="AT36" s="146"/>
      <c r="AU36" s="146"/>
      <c r="AV36" s="146"/>
      <c r="AW36" s="146"/>
      <c r="AX36" s="146"/>
      <c r="AY36" s="146"/>
      <c r="AZ36" s="146"/>
      <c r="BA36" s="146"/>
      <c r="BB36" s="146"/>
      <c r="BC36" s="146"/>
      <c r="BD36" s="142"/>
      <c r="BE36" s="143" t="str">
        <f>B36</f>
        <v>Vehicle 3</v>
      </c>
      <c r="BF36" s="312" t="str">
        <f>+Input!E161</f>
        <v/>
      </c>
      <c r="BG36" s="323">
        <f>+Input!E162</f>
        <v>0</v>
      </c>
      <c r="BH36" s="324">
        <f>+Input!E163</f>
        <v>0</v>
      </c>
      <c r="BI36" s="320">
        <f>VLOOKUP($BF36,Hidden_Database!$C$11:$I$75,4,FALSE)</f>
        <v>0</v>
      </c>
      <c r="BJ36" s="320">
        <f>VLOOKUP($BF36,Hidden_Database!$C$11:$I$75,5,FALSE)</f>
        <v>0</v>
      </c>
      <c r="BK36" s="321">
        <f>VLOOKUP($BF36,Hidden_Database!$C$11:$I$75,6,FALSE)</f>
        <v>0</v>
      </c>
      <c r="BL36" s="345">
        <f t="shared" si="13"/>
        <v>0</v>
      </c>
      <c r="BM36" s="345">
        <f t="shared" si="13"/>
        <v>0</v>
      </c>
      <c r="BN36" s="345">
        <f t="shared" si="13"/>
        <v>0</v>
      </c>
      <c r="BO36" s="146"/>
      <c r="BP36" s="146"/>
      <c r="BQ36" s="146"/>
      <c r="BR36" s="146"/>
      <c r="BS36" s="146"/>
      <c r="BT36" s="146"/>
      <c r="BU36" s="146"/>
      <c r="BV36" s="146"/>
      <c r="BW36" s="146"/>
      <c r="BX36" s="146"/>
      <c r="BY36" s="146"/>
      <c r="BZ36" s="146"/>
      <c r="CA36" s="146"/>
      <c r="CB36" s="142"/>
      <c r="CC36" s="143" t="str">
        <f>B36</f>
        <v>Vehicle 3</v>
      </c>
      <c r="CD36" s="312" t="str">
        <f>+Input!E191</f>
        <v/>
      </c>
      <c r="CE36" s="323">
        <f>+Input!E192</f>
        <v>0</v>
      </c>
      <c r="CF36" s="323">
        <f>+Input!E193</f>
        <v>0</v>
      </c>
      <c r="CG36" s="323">
        <f>+Input!E194</f>
        <v>0</v>
      </c>
      <c r="CH36" s="347">
        <f>IFERROR(+CE36*CG36/1000*VLOOKUP(CD36,Hidden_Database!$C$11:$H$14,7,FALSE),0)</f>
        <v>0</v>
      </c>
      <c r="CI36" s="320">
        <f>VLOOKUP($CD36,Hidden_Database!$C$11:$I$75,4,FALSE)</f>
        <v>0</v>
      </c>
      <c r="CJ36" s="320">
        <f>VLOOKUP($CD36,Hidden_Database!$C$11:$I$75,5,FALSE)</f>
        <v>0</v>
      </c>
      <c r="CK36" s="321">
        <f>VLOOKUP($CD36,Hidden_Database!$C$11:$I$75,6,FALSE)</f>
        <v>0</v>
      </c>
      <c r="CL36" s="345">
        <f t="shared" si="14"/>
        <v>0</v>
      </c>
      <c r="CM36" s="345">
        <f t="shared" si="14"/>
        <v>0</v>
      </c>
      <c r="CN36" s="345">
        <f t="shared" si="14"/>
        <v>0</v>
      </c>
      <c r="CO36" s="345">
        <f>CH36*Hidden_Database!$J$66</f>
        <v>0</v>
      </c>
      <c r="CP36" s="146"/>
      <c r="CQ36" s="146"/>
      <c r="CR36" s="142"/>
      <c r="CS36" s="146"/>
      <c r="CT36" s="146"/>
      <c r="CU36" s="146"/>
      <c r="CV36" s="146"/>
      <c r="CW36" s="146"/>
      <c r="CX36" s="146"/>
      <c r="CY36" s="146"/>
      <c r="CZ36" s="146"/>
      <c r="DA36" s="146"/>
      <c r="DB36" s="146"/>
      <c r="DC36" s="146"/>
      <c r="DD36" s="146"/>
      <c r="DE36" s="143" t="str">
        <f>B36</f>
        <v>Vehicle 3</v>
      </c>
      <c r="DF36" s="312" t="str">
        <f>+Input!E239</f>
        <v/>
      </c>
      <c r="DG36" s="323">
        <f>+Input!E240</f>
        <v>0</v>
      </c>
      <c r="DH36" s="323">
        <f>+Input!E241</f>
        <v>0</v>
      </c>
      <c r="DI36" s="323">
        <f>+Input!E242</f>
        <v>0</v>
      </c>
      <c r="DJ36" s="347">
        <f>IFERROR(+DG36*DI36/1000*VLOOKUP(DF36,Hidden_Database!$C$11:$H$14,7,FALSE),0)</f>
        <v>0</v>
      </c>
      <c r="DK36" s="320">
        <f>VLOOKUP($DF36,Hidden_Database!$C$11:$I$75,4,FALSE)</f>
        <v>0</v>
      </c>
      <c r="DL36" s="320">
        <f>VLOOKUP($DF36,Hidden_Database!$C$11:$I$75,5,FALSE)</f>
        <v>0</v>
      </c>
      <c r="DM36" s="321">
        <f>VLOOKUP($DF36,Hidden_Database!$C$11:$I$75,6,FALSE)</f>
        <v>0</v>
      </c>
      <c r="DN36" s="345">
        <f t="shared" si="15"/>
        <v>0</v>
      </c>
      <c r="DO36" s="345">
        <f t="shared" si="15"/>
        <v>0</v>
      </c>
      <c r="DP36" s="345">
        <f t="shared" si="15"/>
        <v>0</v>
      </c>
      <c r="DQ36" s="345">
        <f>DJ36*Hidden_Database!J68</f>
        <v>0</v>
      </c>
      <c r="DR36" s="146"/>
      <c r="DS36" s="146"/>
      <c r="DT36" s="142"/>
      <c r="DU36" s="146"/>
      <c r="DV36" s="146"/>
      <c r="DW36" s="146"/>
      <c r="DX36" s="146"/>
      <c r="DY36" s="146"/>
      <c r="DZ36" s="146"/>
      <c r="EA36" s="146"/>
      <c r="EB36" s="146"/>
      <c r="EC36" s="146"/>
      <c r="ED36" s="146"/>
      <c r="EE36" s="146"/>
      <c r="EF36" s="146"/>
      <c r="EG36" s="146"/>
      <c r="EH36" s="146"/>
      <c r="EI36" s="146"/>
      <c r="EJ36" s="146"/>
      <c r="EK36" s="146"/>
      <c r="EL36" s="146"/>
      <c r="EM36" s="146"/>
      <c r="EN36" s="146"/>
      <c r="EO36" s="146"/>
      <c r="EP36" s="146"/>
      <c r="EQ36" s="146"/>
      <c r="ER36" s="146"/>
      <c r="ES36" s="146"/>
      <c r="ET36" s="146"/>
      <c r="EU36" s="146"/>
      <c r="EV36" s="146"/>
      <c r="EW36" s="146"/>
      <c r="EX36" s="146"/>
      <c r="EY36" s="146"/>
      <c r="EZ36" s="146"/>
      <c r="FA36" s="146"/>
      <c r="FB36" s="146"/>
      <c r="FC36" s="146"/>
    </row>
    <row r="37" spans="1:159" ht="15" customHeight="1">
      <c r="B37" s="90" t="str">
        <f>Input!F60</f>
        <v>Vehicle 4</v>
      </c>
      <c r="C37" s="309" t="str">
        <f>Input!F61</f>
        <v/>
      </c>
      <c r="D37" s="322">
        <f>+Input!F62</f>
        <v>0</v>
      </c>
      <c r="E37" s="322">
        <f>+Input!F63</f>
        <v>0</v>
      </c>
      <c r="F37" s="322">
        <f>+Input!F64</f>
        <v>0</v>
      </c>
      <c r="G37" s="346">
        <f>IFERROR(+D37*F37/1000*VLOOKUP(C37,Hidden_Database!$C$11:$H$14,7,FALSE),0)</f>
        <v>0</v>
      </c>
      <c r="H37" s="320">
        <f>VLOOKUP($C37,Hidden_Database!$C$11:$I$75,4,FALSE)</f>
        <v>0</v>
      </c>
      <c r="I37" s="320">
        <f>VLOOKUP($C37,Hidden_Database!$C$11:$I$75,5,FALSE)</f>
        <v>0</v>
      </c>
      <c r="J37" s="321">
        <f>VLOOKUP($C37,Hidden_Database!$C$11:$I$75,6,FALSE)</f>
        <v>0</v>
      </c>
      <c r="K37" s="345">
        <f t="shared" si="11"/>
        <v>0</v>
      </c>
      <c r="L37" s="345">
        <f t="shared" si="11"/>
        <v>0</v>
      </c>
      <c r="M37" s="345">
        <f t="shared" si="11"/>
        <v>0</v>
      </c>
      <c r="N37" s="345">
        <f>G37*Hidden_Database!$J$66</f>
        <v>0</v>
      </c>
      <c r="O37" s="93"/>
      <c r="AC37" s="93"/>
      <c r="AD37" s="90" t="str">
        <f>B37</f>
        <v>Vehicle 4</v>
      </c>
      <c r="AE37" s="309" t="str">
        <f>+Input!F126</f>
        <v/>
      </c>
      <c r="AF37" s="323">
        <f>+Input!F127</f>
        <v>0</v>
      </c>
      <c r="AG37" s="323">
        <f>+Input!F128</f>
        <v>0</v>
      </c>
      <c r="AH37" s="323">
        <f>+Input!F129</f>
        <v>0</v>
      </c>
      <c r="AI37" s="347">
        <f>IFERROR(+AF37*AH37/1000*VLOOKUP(AE37,Hidden_Database!$C$11:$H$14,7,FALSE),0)</f>
        <v>0</v>
      </c>
      <c r="AJ37" s="320">
        <f>VLOOKUP($AE37,Hidden_Database!$C$11:$I$75,4,FALSE)</f>
        <v>0</v>
      </c>
      <c r="AK37" s="320">
        <f>VLOOKUP($AE37,Hidden_Database!$C$11:$I$75,5,FALSE)</f>
        <v>0</v>
      </c>
      <c r="AL37" s="321">
        <f>VLOOKUP($AE37,Hidden_Database!$C$11:$I$75,6,FALSE)</f>
        <v>0</v>
      </c>
      <c r="AM37" s="345">
        <f t="shared" si="12"/>
        <v>0</v>
      </c>
      <c r="AN37" s="345">
        <f t="shared" si="12"/>
        <v>0</v>
      </c>
      <c r="AO37" s="345">
        <f t="shared" si="12"/>
        <v>0</v>
      </c>
      <c r="AP37" s="345">
        <f>AI37*Hidden_Database!$J$66</f>
        <v>0</v>
      </c>
      <c r="AQ37" s="146"/>
      <c r="AR37" s="142"/>
      <c r="AS37" s="146"/>
      <c r="AT37" s="146"/>
      <c r="AU37" s="146"/>
      <c r="AV37" s="146"/>
      <c r="AW37" s="146"/>
      <c r="AX37" s="146"/>
      <c r="AY37" s="146"/>
      <c r="AZ37" s="146"/>
      <c r="BA37" s="146"/>
      <c r="BB37" s="146"/>
      <c r="BC37" s="146"/>
      <c r="BD37" s="142"/>
      <c r="BE37" s="143" t="str">
        <f>B37</f>
        <v>Vehicle 4</v>
      </c>
      <c r="BF37" s="312" t="str">
        <f>+Input!F161</f>
        <v/>
      </c>
      <c r="BG37" s="323">
        <f>+Input!F162</f>
        <v>0</v>
      </c>
      <c r="BH37" s="324">
        <f>+Input!F163</f>
        <v>0</v>
      </c>
      <c r="BI37" s="320">
        <f>VLOOKUP($BF37,Hidden_Database!$C$11:$I$75,4,FALSE)</f>
        <v>0</v>
      </c>
      <c r="BJ37" s="320">
        <f>VLOOKUP($BF37,Hidden_Database!$C$11:$I$75,5,FALSE)</f>
        <v>0</v>
      </c>
      <c r="BK37" s="321">
        <f>VLOOKUP($BF37,Hidden_Database!$C$11:$I$75,6,FALSE)</f>
        <v>0</v>
      </c>
      <c r="BL37" s="345">
        <f t="shared" si="13"/>
        <v>0</v>
      </c>
      <c r="BM37" s="345">
        <f t="shared" si="13"/>
        <v>0</v>
      </c>
      <c r="BN37" s="345">
        <f t="shared" si="13"/>
        <v>0</v>
      </c>
      <c r="BO37" s="146"/>
      <c r="BP37" s="146"/>
      <c r="BQ37" s="146"/>
      <c r="BR37" s="146"/>
      <c r="BS37" s="146"/>
      <c r="BT37" s="146"/>
      <c r="BU37" s="146"/>
      <c r="BV37" s="146"/>
      <c r="BW37" s="146"/>
      <c r="BX37" s="146"/>
      <c r="BY37" s="146"/>
      <c r="BZ37" s="146"/>
      <c r="CA37" s="146"/>
      <c r="CB37" s="142"/>
      <c r="CC37" s="143" t="str">
        <f>B37</f>
        <v>Vehicle 4</v>
      </c>
      <c r="CD37" s="312" t="str">
        <f>+Input!F191</f>
        <v/>
      </c>
      <c r="CE37" s="323">
        <f>+Input!F192</f>
        <v>0</v>
      </c>
      <c r="CF37" s="323">
        <f>+Input!F193</f>
        <v>0</v>
      </c>
      <c r="CG37" s="323">
        <f>+Input!F194</f>
        <v>0</v>
      </c>
      <c r="CH37" s="347">
        <f>IFERROR(+CE37*CG37/1000*VLOOKUP(CD37,Hidden_Database!$C$11:$H$14,7,FALSE),0)</f>
        <v>0</v>
      </c>
      <c r="CI37" s="320">
        <f>VLOOKUP($CD37,Hidden_Database!$C$11:$I$75,4,FALSE)</f>
        <v>0</v>
      </c>
      <c r="CJ37" s="320">
        <f>VLOOKUP($CD37,Hidden_Database!$C$11:$I$75,5,FALSE)</f>
        <v>0</v>
      </c>
      <c r="CK37" s="321">
        <f>VLOOKUP($CD37,Hidden_Database!$C$11:$I$75,6,FALSE)</f>
        <v>0</v>
      </c>
      <c r="CL37" s="345">
        <f t="shared" si="14"/>
        <v>0</v>
      </c>
      <c r="CM37" s="345">
        <f t="shared" si="14"/>
        <v>0</v>
      </c>
      <c r="CN37" s="345">
        <f t="shared" si="14"/>
        <v>0</v>
      </c>
      <c r="CO37" s="345">
        <f>CH37*Hidden_Database!$J$66</f>
        <v>0</v>
      </c>
      <c r="CP37" s="146"/>
      <c r="CQ37" s="146"/>
      <c r="CR37" s="142"/>
      <c r="CS37" s="146"/>
      <c r="CT37" s="146"/>
      <c r="CU37" s="146"/>
      <c r="CV37" s="146"/>
      <c r="CW37" s="146"/>
      <c r="CX37" s="146"/>
      <c r="CY37" s="146"/>
      <c r="CZ37" s="146"/>
      <c r="DA37" s="146"/>
      <c r="DB37" s="146"/>
      <c r="DC37" s="146"/>
      <c r="DD37" s="146"/>
      <c r="DE37" s="143" t="str">
        <f>B37</f>
        <v>Vehicle 4</v>
      </c>
      <c r="DF37" s="312" t="str">
        <f>+Input!F239</f>
        <v/>
      </c>
      <c r="DG37" s="323">
        <f>+Input!F240</f>
        <v>0</v>
      </c>
      <c r="DH37" s="323">
        <f>+Input!F241</f>
        <v>0</v>
      </c>
      <c r="DI37" s="323">
        <f>+Input!F242</f>
        <v>0</v>
      </c>
      <c r="DJ37" s="347">
        <f>IFERROR(+DG37*DI37/1000*VLOOKUP(DF37,Hidden_Database!$C$11:$H$14,7,FALSE),0)</f>
        <v>0</v>
      </c>
      <c r="DK37" s="320">
        <f>VLOOKUP($DF37,Hidden_Database!$C$11:$I$75,4,FALSE)</f>
        <v>0</v>
      </c>
      <c r="DL37" s="320">
        <f>VLOOKUP($DF37,Hidden_Database!$C$11:$I$75,5,FALSE)</f>
        <v>0</v>
      </c>
      <c r="DM37" s="321">
        <f>VLOOKUP($DF37,Hidden_Database!$C$11:$I$75,6,FALSE)</f>
        <v>0</v>
      </c>
      <c r="DN37" s="345">
        <f t="shared" si="15"/>
        <v>0</v>
      </c>
      <c r="DO37" s="345">
        <f t="shared" si="15"/>
        <v>0</v>
      </c>
      <c r="DP37" s="345">
        <f t="shared" si="15"/>
        <v>0</v>
      </c>
      <c r="DQ37" s="345">
        <f>DJ37*Hidden_Database!J69</f>
        <v>0</v>
      </c>
      <c r="DR37" s="146"/>
      <c r="DS37" s="146"/>
      <c r="DT37" s="142"/>
      <c r="DU37" s="146"/>
      <c r="DV37" s="146"/>
      <c r="DW37" s="146"/>
      <c r="DX37" s="146"/>
      <c r="DY37" s="146"/>
      <c r="DZ37" s="146"/>
      <c r="EA37" s="146"/>
      <c r="EB37" s="146"/>
      <c r="EC37" s="146"/>
      <c r="ED37" s="146"/>
      <c r="EE37" s="146"/>
      <c r="EF37" s="146"/>
      <c r="EG37" s="146"/>
      <c r="EH37" s="146"/>
      <c r="EI37" s="146"/>
      <c r="EJ37" s="146"/>
      <c r="EK37" s="146"/>
      <c r="EL37" s="146"/>
      <c r="EM37" s="146"/>
      <c r="EN37" s="146"/>
      <c r="EO37" s="146"/>
      <c r="EP37" s="146"/>
      <c r="EQ37" s="146"/>
      <c r="ER37" s="146"/>
      <c r="ES37" s="146"/>
      <c r="ET37" s="146"/>
      <c r="EU37" s="146"/>
      <c r="EV37" s="146"/>
      <c r="EW37" s="146"/>
      <c r="EX37" s="146"/>
      <c r="EY37" s="146"/>
      <c r="EZ37" s="146"/>
      <c r="FA37" s="146"/>
      <c r="FB37" s="146"/>
      <c r="FC37" s="146"/>
    </row>
    <row r="38" spans="1:159" ht="15" customHeight="1">
      <c r="B38" s="90" t="str">
        <f>Input!G60</f>
        <v>Vehicle 5</v>
      </c>
      <c r="C38" s="309" t="str">
        <f>Input!G61</f>
        <v/>
      </c>
      <c r="D38" s="322">
        <f>+Input!G62</f>
        <v>0</v>
      </c>
      <c r="E38" s="322">
        <f>+Input!G63</f>
        <v>0</v>
      </c>
      <c r="F38" s="322">
        <f>+Input!G64</f>
        <v>0</v>
      </c>
      <c r="G38" s="346">
        <f>IFERROR(+D38*F38/1000*VLOOKUP(C38,Hidden_Database!$C$11:$H$14,7,FALSE),0)</f>
        <v>0</v>
      </c>
      <c r="H38" s="320">
        <f>VLOOKUP($C38,Hidden_Database!$C$11:$I$75,4,FALSE)</f>
        <v>0</v>
      </c>
      <c r="I38" s="320">
        <f>VLOOKUP($C38,Hidden_Database!$C$11:$I$75,5,FALSE)</f>
        <v>0</v>
      </c>
      <c r="J38" s="321">
        <f>VLOOKUP($C38,Hidden_Database!$C$11:$I$75,6,FALSE)</f>
        <v>0</v>
      </c>
      <c r="K38" s="345">
        <f t="shared" si="11"/>
        <v>0</v>
      </c>
      <c r="L38" s="345">
        <f t="shared" si="11"/>
        <v>0</v>
      </c>
      <c r="M38" s="345">
        <f t="shared" si="11"/>
        <v>0</v>
      </c>
      <c r="N38" s="345">
        <f>G38*Hidden_Database!$J$66</f>
        <v>0</v>
      </c>
      <c r="O38" s="93"/>
      <c r="AC38" s="93"/>
      <c r="AD38" s="90" t="str">
        <f>B38</f>
        <v>Vehicle 5</v>
      </c>
      <c r="AE38" s="309" t="str">
        <f>+Input!G126</f>
        <v/>
      </c>
      <c r="AF38" s="323">
        <f>+Input!G127</f>
        <v>0</v>
      </c>
      <c r="AG38" s="323">
        <f>+Input!G128</f>
        <v>0</v>
      </c>
      <c r="AH38" s="323">
        <f>+Input!G129</f>
        <v>0</v>
      </c>
      <c r="AI38" s="347">
        <f>IFERROR(+AF38*AH38/1000*VLOOKUP(AE38,Hidden_Database!$C$11:$H$14,7,FALSE),0)</f>
        <v>0</v>
      </c>
      <c r="AJ38" s="320">
        <f>VLOOKUP($AE38,Hidden_Database!$C$11:$I$75,4,FALSE)</f>
        <v>0</v>
      </c>
      <c r="AK38" s="320">
        <f>VLOOKUP($AE38,Hidden_Database!$C$11:$I$75,5,FALSE)</f>
        <v>0</v>
      </c>
      <c r="AL38" s="321">
        <f>VLOOKUP($AE38,Hidden_Database!$C$11:$I$75,6,FALSE)</f>
        <v>0</v>
      </c>
      <c r="AM38" s="345">
        <f t="shared" si="12"/>
        <v>0</v>
      </c>
      <c r="AN38" s="345">
        <f t="shared" si="12"/>
        <v>0</v>
      </c>
      <c r="AO38" s="345">
        <f t="shared" si="12"/>
        <v>0</v>
      </c>
      <c r="AP38" s="345">
        <f>AI38*Hidden_Database!$J$66</f>
        <v>0</v>
      </c>
      <c r="AQ38" s="146"/>
      <c r="AR38" s="142"/>
      <c r="AS38" s="146"/>
      <c r="AT38" s="146"/>
      <c r="AU38" s="146"/>
      <c r="AV38" s="146"/>
      <c r="AW38" s="146"/>
      <c r="AX38" s="146"/>
      <c r="AY38" s="146"/>
      <c r="AZ38" s="146"/>
      <c r="BA38" s="146"/>
      <c r="BB38" s="146"/>
      <c r="BC38" s="146"/>
      <c r="BD38" s="142"/>
      <c r="BE38" s="143" t="str">
        <f>B38</f>
        <v>Vehicle 5</v>
      </c>
      <c r="BF38" s="312" t="str">
        <f>+Input!G161</f>
        <v/>
      </c>
      <c r="BG38" s="323">
        <f>+Input!G162</f>
        <v>0</v>
      </c>
      <c r="BH38" s="324">
        <f>+Input!G163</f>
        <v>0</v>
      </c>
      <c r="BI38" s="320">
        <f>VLOOKUP($BF38,Hidden_Database!$C$11:$I$75,4,FALSE)</f>
        <v>0</v>
      </c>
      <c r="BJ38" s="320">
        <f>VLOOKUP($BF38,Hidden_Database!$C$11:$I$75,5,FALSE)</f>
        <v>0</v>
      </c>
      <c r="BK38" s="321">
        <f>VLOOKUP($BF38,Hidden_Database!$C$11:$I$75,6,FALSE)</f>
        <v>0</v>
      </c>
      <c r="BL38" s="345">
        <f t="shared" si="13"/>
        <v>0</v>
      </c>
      <c r="BM38" s="345">
        <f t="shared" si="13"/>
        <v>0</v>
      </c>
      <c r="BN38" s="345">
        <f t="shared" si="13"/>
        <v>0</v>
      </c>
      <c r="BO38" s="146"/>
      <c r="BP38" s="146"/>
      <c r="BQ38" s="146"/>
      <c r="BR38" s="146"/>
      <c r="BS38" s="146"/>
      <c r="BT38" s="146"/>
      <c r="BU38" s="146"/>
      <c r="BV38" s="146"/>
      <c r="BW38" s="146"/>
      <c r="BX38" s="146"/>
      <c r="BY38" s="146"/>
      <c r="BZ38" s="146"/>
      <c r="CA38" s="146"/>
      <c r="CB38" s="142"/>
      <c r="CC38" s="143" t="str">
        <f>B38</f>
        <v>Vehicle 5</v>
      </c>
      <c r="CD38" s="312" t="str">
        <f>+Input!G191</f>
        <v/>
      </c>
      <c r="CE38" s="323">
        <f>+Input!G192</f>
        <v>0</v>
      </c>
      <c r="CF38" s="323">
        <f>+Input!G193</f>
        <v>0</v>
      </c>
      <c r="CG38" s="323">
        <f>+Input!G194</f>
        <v>0</v>
      </c>
      <c r="CH38" s="347">
        <f>IFERROR(+CE38*CG38/1000*VLOOKUP(CD38,Hidden_Database!$C$11:$H$14,7,FALSE),0)</f>
        <v>0</v>
      </c>
      <c r="CI38" s="320">
        <f>VLOOKUP($CD38,Hidden_Database!$C$11:$I$75,4,FALSE)</f>
        <v>0</v>
      </c>
      <c r="CJ38" s="320">
        <f>VLOOKUP($CD38,Hidden_Database!$C$11:$I$75,5,FALSE)</f>
        <v>0</v>
      </c>
      <c r="CK38" s="321">
        <f>VLOOKUP($CD38,Hidden_Database!$C$11:$I$75,6,FALSE)</f>
        <v>0</v>
      </c>
      <c r="CL38" s="345">
        <f t="shared" si="14"/>
        <v>0</v>
      </c>
      <c r="CM38" s="345">
        <f t="shared" si="14"/>
        <v>0</v>
      </c>
      <c r="CN38" s="345">
        <f t="shared" si="14"/>
        <v>0</v>
      </c>
      <c r="CO38" s="345">
        <f>CH38*Hidden_Database!$J$66</f>
        <v>0</v>
      </c>
      <c r="CP38" s="146"/>
      <c r="CQ38" s="146"/>
      <c r="CR38" s="142"/>
      <c r="CS38" s="146"/>
      <c r="CT38" s="146"/>
      <c r="CU38" s="146"/>
      <c r="CV38" s="146"/>
      <c r="CW38" s="146"/>
      <c r="CX38" s="146"/>
      <c r="CY38" s="146"/>
      <c r="CZ38" s="146"/>
      <c r="DA38" s="146"/>
      <c r="DB38" s="146"/>
      <c r="DC38" s="146"/>
      <c r="DD38" s="146"/>
      <c r="DE38" s="143" t="str">
        <f>B38</f>
        <v>Vehicle 5</v>
      </c>
      <c r="DF38" s="312" t="str">
        <f>+Input!G239</f>
        <v/>
      </c>
      <c r="DG38" s="323">
        <f>+Input!G240</f>
        <v>0</v>
      </c>
      <c r="DH38" s="323">
        <f>+Input!G241</f>
        <v>0</v>
      </c>
      <c r="DI38" s="323">
        <f>+Input!G242</f>
        <v>0</v>
      </c>
      <c r="DJ38" s="347">
        <f>IFERROR(+DG38*DI38/1000*VLOOKUP(DF38,Hidden_Database!$C$11:$H$14,7,FALSE),0)</f>
        <v>0</v>
      </c>
      <c r="DK38" s="320">
        <f>VLOOKUP($DF38,Hidden_Database!$C$11:$I$75,4,FALSE)</f>
        <v>0</v>
      </c>
      <c r="DL38" s="320">
        <f>VLOOKUP($DF38,Hidden_Database!$C$11:$I$75,5,FALSE)</f>
        <v>0</v>
      </c>
      <c r="DM38" s="321">
        <f>VLOOKUP($DF38,Hidden_Database!$C$11:$I$75,6,FALSE)</f>
        <v>0</v>
      </c>
      <c r="DN38" s="345">
        <f t="shared" si="15"/>
        <v>0</v>
      </c>
      <c r="DO38" s="345">
        <f t="shared" si="15"/>
        <v>0</v>
      </c>
      <c r="DP38" s="345">
        <f t="shared" si="15"/>
        <v>0</v>
      </c>
      <c r="DQ38" s="345">
        <f>DJ38*Hidden_Database!J70</f>
        <v>0</v>
      </c>
      <c r="DR38" s="146"/>
      <c r="DS38" s="146"/>
      <c r="DT38" s="142"/>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row>
    <row r="39" spans="1:159" ht="15" customHeight="1">
      <c r="B39" s="90"/>
      <c r="C39" s="161"/>
      <c r="D39" s="108"/>
      <c r="E39" s="108"/>
      <c r="F39" s="108"/>
      <c r="G39" s="182"/>
      <c r="H39" s="62"/>
      <c r="I39" s="62"/>
      <c r="J39" s="109"/>
      <c r="K39" s="62"/>
      <c r="L39" s="62"/>
      <c r="M39" s="62"/>
      <c r="N39" s="62"/>
      <c r="O39" s="93"/>
      <c r="AC39" s="93"/>
      <c r="AD39" s="90"/>
      <c r="AE39" s="161"/>
      <c r="AF39" s="266"/>
      <c r="AG39" s="266"/>
      <c r="AH39" s="266"/>
      <c r="AI39" s="267"/>
      <c r="AJ39" s="62"/>
      <c r="AK39" s="62"/>
      <c r="AL39" s="109"/>
      <c r="AM39" s="62"/>
      <c r="AN39" s="62"/>
      <c r="AO39" s="62"/>
      <c r="AP39" s="62"/>
      <c r="AQ39" s="146"/>
      <c r="AR39" s="142"/>
      <c r="AS39" s="146"/>
      <c r="AT39" s="146"/>
      <c r="AU39" s="146"/>
      <c r="AV39" s="146"/>
      <c r="AW39" s="146"/>
      <c r="AX39" s="146"/>
      <c r="AY39" s="146"/>
      <c r="AZ39" s="146"/>
      <c r="BA39" s="146"/>
      <c r="BB39" s="146"/>
      <c r="BC39" s="146"/>
      <c r="BD39" s="142"/>
      <c r="BE39" s="143"/>
      <c r="BF39" s="145"/>
      <c r="BG39" s="266"/>
      <c r="BH39" s="268"/>
      <c r="BI39" s="62"/>
      <c r="BJ39" s="62"/>
      <c r="BK39" s="109"/>
      <c r="BL39" s="62"/>
      <c r="BM39" s="62"/>
      <c r="BN39" s="62"/>
      <c r="BO39" s="146"/>
      <c r="BP39" s="146"/>
      <c r="BQ39" s="146"/>
      <c r="BR39" s="146"/>
      <c r="BS39" s="146"/>
      <c r="BT39" s="146"/>
      <c r="BU39" s="146"/>
      <c r="BV39" s="146"/>
      <c r="BW39" s="146"/>
      <c r="BX39" s="146"/>
      <c r="BY39" s="146"/>
      <c r="BZ39" s="146"/>
      <c r="CA39" s="146"/>
      <c r="CB39" s="142"/>
      <c r="CC39" s="143"/>
      <c r="CD39" s="145"/>
      <c r="CE39" s="266"/>
      <c r="CF39" s="266"/>
      <c r="CG39" s="266"/>
      <c r="CH39" s="267"/>
      <c r="CI39" s="62"/>
      <c r="CJ39" s="62"/>
      <c r="CK39" s="109"/>
      <c r="CL39" s="62"/>
      <c r="CM39" s="62"/>
      <c r="CN39" s="62"/>
      <c r="CO39" s="62"/>
      <c r="CP39" s="146"/>
      <c r="CQ39" s="146"/>
      <c r="CR39" s="142"/>
      <c r="CS39" s="146"/>
      <c r="CT39" s="146"/>
      <c r="CU39" s="146"/>
      <c r="CV39" s="146"/>
      <c r="CW39" s="146"/>
      <c r="CX39" s="146"/>
      <c r="CY39" s="146"/>
      <c r="CZ39" s="146"/>
      <c r="DA39" s="146"/>
      <c r="DB39" s="146"/>
      <c r="DC39" s="146"/>
      <c r="DD39" s="146"/>
      <c r="DE39" s="143"/>
      <c r="DF39" s="145"/>
      <c r="DG39" s="266"/>
      <c r="DH39" s="266"/>
      <c r="DI39" s="266"/>
      <c r="DJ39" s="267"/>
      <c r="DK39" s="62"/>
      <c r="DL39" s="62"/>
      <c r="DM39" s="109"/>
      <c r="DN39" s="62"/>
      <c r="DO39" s="62"/>
      <c r="DP39" s="62"/>
      <c r="DQ39" s="62"/>
      <c r="DR39" s="146"/>
      <c r="DS39" s="146"/>
      <c r="DT39" s="142"/>
      <c r="DU39" s="146"/>
      <c r="DV39" s="146"/>
      <c r="DW39" s="146"/>
      <c r="DX39" s="146"/>
      <c r="DY39" s="146"/>
      <c r="DZ39" s="146"/>
      <c r="EA39" s="146"/>
      <c r="EB39" s="146"/>
      <c r="EC39" s="146"/>
      <c r="ED39" s="146"/>
      <c r="EE39" s="146"/>
      <c r="EF39" s="146"/>
      <c r="EG39" s="146"/>
      <c r="EH39" s="146"/>
      <c r="EI39" s="146"/>
      <c r="EJ39" s="146"/>
      <c r="EK39" s="146"/>
      <c r="EL39" s="146"/>
      <c r="EM39" s="146"/>
      <c r="EN39" s="146"/>
      <c r="EO39" s="146"/>
      <c r="EP39" s="146"/>
      <c r="EQ39" s="146"/>
      <c r="ER39" s="146"/>
      <c r="ES39" s="146"/>
      <c r="ET39" s="146"/>
      <c r="EU39" s="146"/>
      <c r="EV39" s="146"/>
      <c r="EW39" s="146"/>
      <c r="EX39" s="146"/>
      <c r="EY39" s="146"/>
      <c r="EZ39" s="146"/>
      <c r="FA39" s="146"/>
      <c r="FB39" s="146"/>
      <c r="FC39" s="146"/>
    </row>
    <row r="40" spans="1:159">
      <c r="B40" s="69" t="str">
        <f>VLOOKUP("Hidden_Calculation_Header_4_LCA_Water",Hidden_Translations!$B$11:$J$1184,Hidden_Translations!$C$8,FALSE)</f>
        <v>#4: LCA: Water use</v>
      </c>
      <c r="C40" s="70"/>
      <c r="D40" s="70"/>
      <c r="E40" s="70"/>
      <c r="F40" s="70"/>
      <c r="G40" s="70"/>
      <c r="H40" s="70"/>
      <c r="I40" s="70"/>
      <c r="J40" s="70"/>
      <c r="K40" s="70"/>
      <c r="L40" s="70"/>
      <c r="M40" s="70"/>
      <c r="N40" s="70"/>
      <c r="O40" s="93"/>
      <c r="P40" s="69" t="str">
        <f>B40</f>
        <v>#4: LCA: Water use</v>
      </c>
      <c r="Q40" s="70"/>
      <c r="R40" s="70"/>
      <c r="S40" s="169"/>
      <c r="T40" s="169"/>
      <c r="U40" s="70"/>
      <c r="V40" s="70"/>
      <c r="W40" s="70"/>
      <c r="X40" s="70"/>
      <c r="Y40" s="70"/>
      <c r="Z40" s="70"/>
      <c r="AA40" s="70"/>
      <c r="AB40" s="70"/>
      <c r="AC40" s="93"/>
      <c r="AD40" s="69" t="str">
        <f>B40</f>
        <v>#4: LCA: Water use</v>
      </c>
      <c r="AE40" s="70"/>
      <c r="AF40" s="180"/>
      <c r="AG40" s="180"/>
      <c r="AH40" s="180"/>
      <c r="AI40" s="180"/>
      <c r="AJ40" s="180"/>
      <c r="AK40" s="180"/>
      <c r="AL40" s="180"/>
      <c r="AM40" s="180"/>
      <c r="AN40" s="180"/>
      <c r="AO40" s="180"/>
      <c r="AP40" s="180"/>
      <c r="AQ40" s="146"/>
      <c r="AR40" s="69" t="str">
        <f>B40</f>
        <v>#4: LCA: Water use</v>
      </c>
      <c r="AS40" s="180"/>
      <c r="AT40" s="180"/>
      <c r="AU40" s="269"/>
      <c r="AV40" s="269"/>
      <c r="AW40" s="180"/>
      <c r="AX40" s="180"/>
      <c r="AY40" s="180"/>
      <c r="AZ40" s="180"/>
      <c r="BA40" s="180"/>
      <c r="BB40" s="180"/>
      <c r="BC40" s="180"/>
      <c r="BD40" s="142"/>
      <c r="BE40" s="69" t="str">
        <f>B40</f>
        <v>#4: LCA: Water use</v>
      </c>
      <c r="BF40" s="180"/>
      <c r="BG40" s="180"/>
      <c r="BH40" s="180"/>
      <c r="BI40" s="180"/>
      <c r="BJ40" s="180"/>
      <c r="BK40" s="180"/>
      <c r="BL40" s="180"/>
      <c r="BM40" s="180"/>
      <c r="BN40" s="180"/>
      <c r="BO40" s="146"/>
      <c r="BP40" s="69" t="str">
        <f>B40</f>
        <v>#4: LCA: Water use</v>
      </c>
      <c r="BQ40" s="180"/>
      <c r="BR40" s="180"/>
      <c r="BS40" s="269"/>
      <c r="BT40" s="269"/>
      <c r="BU40" s="180"/>
      <c r="BV40" s="180"/>
      <c r="BW40" s="180"/>
      <c r="BX40" s="180"/>
      <c r="BY40" s="180"/>
      <c r="BZ40" s="180"/>
      <c r="CA40" s="180"/>
      <c r="CB40" s="142"/>
      <c r="CC40" s="69" t="str">
        <f>B40</f>
        <v>#4: LCA: Water use</v>
      </c>
      <c r="CD40" s="180"/>
      <c r="CE40" s="180"/>
      <c r="CF40" s="180"/>
      <c r="CG40" s="180"/>
      <c r="CH40" s="180"/>
      <c r="CI40" s="180"/>
      <c r="CJ40" s="180"/>
      <c r="CK40" s="180"/>
      <c r="CL40" s="180"/>
      <c r="CM40" s="180"/>
      <c r="CN40" s="180"/>
      <c r="CO40" s="180"/>
      <c r="CP40" s="146"/>
      <c r="CQ40" s="172" t="str">
        <f>B40</f>
        <v>#4: LCA: Water use</v>
      </c>
      <c r="CR40" s="173"/>
      <c r="CS40" s="173"/>
      <c r="CT40" s="173"/>
      <c r="CU40" s="173"/>
      <c r="CV40" s="173"/>
      <c r="CW40" s="173"/>
      <c r="CX40" s="173"/>
      <c r="CY40" s="173"/>
      <c r="CZ40" s="172"/>
      <c r="DA40" s="173"/>
      <c r="DB40" s="172"/>
      <c r="DC40" s="172"/>
      <c r="DD40" s="146"/>
      <c r="DE40" s="69" t="str">
        <f>B40</f>
        <v>#4: LCA: Water use</v>
      </c>
      <c r="DF40" s="180"/>
      <c r="DG40" s="180"/>
      <c r="DH40" s="180"/>
      <c r="DI40" s="180"/>
      <c r="DJ40" s="180"/>
      <c r="DK40" s="180"/>
      <c r="DL40" s="180"/>
      <c r="DM40" s="180"/>
      <c r="DN40" s="180"/>
      <c r="DO40" s="180"/>
      <c r="DP40" s="180"/>
      <c r="DQ40" s="180"/>
      <c r="DR40" s="146"/>
      <c r="DS40" s="172" t="str">
        <f>B40</f>
        <v>#4: LCA: Water use</v>
      </c>
      <c r="DT40" s="173"/>
      <c r="DU40" s="173"/>
      <c r="DV40" s="173"/>
      <c r="DW40" s="173"/>
      <c r="DX40" s="173"/>
      <c r="DY40" s="173"/>
      <c r="DZ40" s="173"/>
      <c r="EA40" s="173"/>
      <c r="EB40" s="172"/>
      <c r="EC40" s="173"/>
      <c r="ED40" s="172"/>
      <c r="EE40" s="172"/>
      <c r="EF40" s="146"/>
      <c r="EG40" s="146"/>
      <c r="EH40" s="146"/>
      <c r="EI40" s="146"/>
      <c r="EJ40" s="146"/>
      <c r="EK40" s="146"/>
      <c r="EL40" s="146"/>
      <c r="EM40" s="146"/>
      <c r="EN40" s="146"/>
      <c r="EO40" s="146"/>
      <c r="EP40" s="146"/>
      <c r="EQ40" s="146"/>
      <c r="ER40" s="146"/>
      <c r="ES40" s="146"/>
      <c r="ET40" s="146"/>
      <c r="EU40" s="146"/>
      <c r="EV40" s="146"/>
      <c r="EW40" s="146"/>
      <c r="EX40" s="146"/>
      <c r="EY40" s="146"/>
      <c r="EZ40" s="146"/>
      <c r="FA40" s="146"/>
      <c r="FB40" s="146"/>
      <c r="FC40" s="146"/>
    </row>
    <row r="41" spans="1:159" ht="15" customHeight="1">
      <c r="B41" s="14"/>
      <c r="C41" s="15"/>
      <c r="D41" s="186" t="str">
        <f>VLOOKUP("Hidden_Calculation_Amount",Hidden_Translations!$B$11:$J$1184,Hidden_Translations!$C$8,FALSE)</f>
        <v>Amount</v>
      </c>
      <c r="E41" s="71"/>
      <c r="F41" s="15"/>
      <c r="G41" s="15"/>
      <c r="H41" s="64" t="str">
        <f t="shared" ref="H41:N41" si="16">H32</f>
        <v>GWP</v>
      </c>
      <c r="I41" s="64" t="str">
        <f t="shared" si="16"/>
        <v>CED</v>
      </c>
      <c r="J41" s="64" t="str">
        <f t="shared" si="16"/>
        <v>AWARE</v>
      </c>
      <c r="K41" s="64" t="str">
        <f t="shared" si="16"/>
        <v>GWP</v>
      </c>
      <c r="L41" s="64" t="str">
        <f t="shared" si="16"/>
        <v>CED</v>
      </c>
      <c r="M41" s="64" t="str">
        <f t="shared" si="16"/>
        <v>AWARE</v>
      </c>
      <c r="N41" s="64" t="str">
        <f t="shared" si="16"/>
        <v>Price</v>
      </c>
      <c r="O41" s="93"/>
      <c r="P41" s="150"/>
      <c r="Q41" s="96"/>
      <c r="R41" s="89" t="str">
        <f>D41</f>
        <v>Amount</v>
      </c>
      <c r="S41" s="137"/>
      <c r="T41" s="137"/>
      <c r="U41" s="141"/>
      <c r="V41" s="64" t="str">
        <f t="shared" ref="V41:AB42" si="17">H41</f>
        <v>GWP</v>
      </c>
      <c r="W41" s="64" t="str">
        <f t="shared" si="17"/>
        <v>CED</v>
      </c>
      <c r="X41" s="64" t="str">
        <f t="shared" si="17"/>
        <v>AWARE</v>
      </c>
      <c r="Y41" s="64" t="str">
        <f t="shared" si="17"/>
        <v>GWP</v>
      </c>
      <c r="Z41" s="64" t="str">
        <f t="shared" si="17"/>
        <v>CED</v>
      </c>
      <c r="AA41" s="64" t="str">
        <f t="shared" si="17"/>
        <v>AWARE</v>
      </c>
      <c r="AB41" s="64" t="str">
        <f t="shared" si="17"/>
        <v>Price</v>
      </c>
      <c r="AC41" s="93"/>
      <c r="AD41" s="93"/>
      <c r="AE41" s="15"/>
      <c r="AF41" s="97" t="str">
        <f>D41</f>
        <v>Amount</v>
      </c>
      <c r="AG41" s="71"/>
      <c r="AH41" s="71"/>
      <c r="AI41" s="71"/>
      <c r="AJ41" s="64" t="str">
        <f t="shared" ref="AJ41:AP42" si="18">H41</f>
        <v>GWP</v>
      </c>
      <c r="AK41" s="64" t="str">
        <f t="shared" si="18"/>
        <v>CED</v>
      </c>
      <c r="AL41" s="64" t="str">
        <f t="shared" si="18"/>
        <v>AWARE</v>
      </c>
      <c r="AM41" s="64" t="str">
        <f t="shared" si="18"/>
        <v>GWP</v>
      </c>
      <c r="AN41" s="64" t="str">
        <f t="shared" si="18"/>
        <v>CED</v>
      </c>
      <c r="AO41" s="64" t="str">
        <f t="shared" si="18"/>
        <v>AWARE</v>
      </c>
      <c r="AP41" s="64" t="str">
        <f t="shared" si="18"/>
        <v>Price</v>
      </c>
      <c r="AQ41" s="146"/>
      <c r="AR41" s="150"/>
      <c r="AS41" s="96"/>
      <c r="AT41" s="89" t="str">
        <f>D41</f>
        <v>Amount</v>
      </c>
      <c r="AU41" s="137"/>
      <c r="AV41" s="137"/>
      <c r="AW41" s="160"/>
      <c r="AX41" s="64" t="str">
        <f t="shared" ref="AX41:BC42" si="19">H41</f>
        <v>GWP</v>
      </c>
      <c r="AY41" s="64" t="str">
        <f t="shared" si="19"/>
        <v>CED</v>
      </c>
      <c r="AZ41" s="64" t="str">
        <f t="shared" si="19"/>
        <v>AWARE</v>
      </c>
      <c r="BA41" s="64" t="str">
        <f t="shared" si="19"/>
        <v>GWP</v>
      </c>
      <c r="BB41" s="64" t="str">
        <f t="shared" si="19"/>
        <v>CED</v>
      </c>
      <c r="BC41" s="64" t="str">
        <f t="shared" si="19"/>
        <v>AWARE</v>
      </c>
      <c r="BD41" s="91"/>
      <c r="BE41" s="14"/>
      <c r="BF41" s="71"/>
      <c r="BG41" s="97" t="str">
        <f>D41</f>
        <v>Amount</v>
      </c>
      <c r="BH41" s="71"/>
      <c r="BI41" s="64" t="str">
        <f t="shared" ref="BI41:BN42" si="20">H41</f>
        <v>GWP</v>
      </c>
      <c r="BJ41" s="64" t="str">
        <f t="shared" si="20"/>
        <v>CED</v>
      </c>
      <c r="BK41" s="64" t="str">
        <f t="shared" si="20"/>
        <v>AWARE</v>
      </c>
      <c r="BL41" s="64" t="str">
        <f t="shared" si="20"/>
        <v>GWP</v>
      </c>
      <c r="BM41" s="64" t="str">
        <f t="shared" si="20"/>
        <v>CED</v>
      </c>
      <c r="BN41" s="64" t="str">
        <f t="shared" si="20"/>
        <v>AWARE</v>
      </c>
      <c r="BO41" s="146"/>
      <c r="BP41" s="150"/>
      <c r="BQ41" s="96"/>
      <c r="BR41" s="89" t="str">
        <f>R41</f>
        <v>Amount</v>
      </c>
      <c r="BS41" s="137"/>
      <c r="BT41" s="137"/>
      <c r="BU41" s="160"/>
      <c r="BV41" s="64" t="str">
        <f t="shared" ref="BV41:CA42" si="21">H41</f>
        <v>GWP</v>
      </c>
      <c r="BW41" s="64" t="str">
        <f t="shared" si="21"/>
        <v>CED</v>
      </c>
      <c r="BX41" s="64" t="str">
        <f t="shared" si="21"/>
        <v>AWARE</v>
      </c>
      <c r="BY41" s="64" t="str">
        <f t="shared" si="21"/>
        <v>GWP</v>
      </c>
      <c r="BZ41" s="64" t="str">
        <f t="shared" si="21"/>
        <v>CED</v>
      </c>
      <c r="CA41" s="64" t="str">
        <f t="shared" si="21"/>
        <v>AWARE</v>
      </c>
      <c r="CB41" s="142"/>
      <c r="CC41" s="14"/>
      <c r="CD41" s="71"/>
      <c r="CE41" s="97" t="str">
        <f>D41</f>
        <v>Amount</v>
      </c>
      <c r="CF41" s="71"/>
      <c r="CG41" s="71"/>
      <c r="CH41" s="71"/>
      <c r="CI41" s="64" t="str">
        <f t="shared" ref="CI41:CO42" si="22">H41</f>
        <v>GWP</v>
      </c>
      <c r="CJ41" s="64" t="str">
        <f t="shared" si="22"/>
        <v>CED</v>
      </c>
      <c r="CK41" s="64" t="str">
        <f t="shared" si="22"/>
        <v>AWARE</v>
      </c>
      <c r="CL41" s="64" t="str">
        <f t="shared" si="22"/>
        <v>GWP</v>
      </c>
      <c r="CM41" s="64" t="str">
        <f t="shared" si="22"/>
        <v>CED</v>
      </c>
      <c r="CN41" s="64" t="str">
        <f t="shared" si="22"/>
        <v>AWARE</v>
      </c>
      <c r="CO41" s="64" t="str">
        <f t="shared" si="22"/>
        <v>Price</v>
      </c>
      <c r="CP41" s="146"/>
      <c r="CQ41" s="150"/>
      <c r="CR41" s="96"/>
      <c r="CS41" s="89" t="str">
        <f>R41</f>
        <v>Amount</v>
      </c>
      <c r="CT41" s="137"/>
      <c r="CU41" s="137"/>
      <c r="CV41" s="160"/>
      <c r="CW41" s="64" t="str">
        <f t="shared" ref="CW41:DC42" si="23">H41</f>
        <v>GWP</v>
      </c>
      <c r="CX41" s="64" t="str">
        <f t="shared" si="23"/>
        <v>CED</v>
      </c>
      <c r="CY41" s="64" t="str">
        <f t="shared" si="23"/>
        <v>AWARE</v>
      </c>
      <c r="CZ41" s="64" t="str">
        <f t="shared" si="23"/>
        <v>GWP</v>
      </c>
      <c r="DA41" s="64" t="str">
        <f t="shared" si="23"/>
        <v>CED</v>
      </c>
      <c r="DB41" s="64" t="str">
        <f t="shared" si="23"/>
        <v>AWARE</v>
      </c>
      <c r="DC41" s="64" t="str">
        <f t="shared" si="23"/>
        <v>Price</v>
      </c>
      <c r="DD41" s="146"/>
      <c r="DE41" s="14"/>
      <c r="DF41" s="71"/>
      <c r="DG41" s="97" t="str">
        <f>D41</f>
        <v>Amount</v>
      </c>
      <c r="DH41" s="71"/>
      <c r="DI41" s="71"/>
      <c r="DJ41" s="71"/>
      <c r="DK41" s="64" t="str">
        <f t="shared" ref="DK41:DQ42" si="24">H41</f>
        <v>GWP</v>
      </c>
      <c r="DL41" s="64" t="str">
        <f t="shared" si="24"/>
        <v>CED</v>
      </c>
      <c r="DM41" s="64" t="str">
        <f t="shared" si="24"/>
        <v>AWARE</v>
      </c>
      <c r="DN41" s="64" t="str">
        <f t="shared" si="24"/>
        <v>GWP</v>
      </c>
      <c r="DO41" s="64" t="str">
        <f t="shared" si="24"/>
        <v>CED</v>
      </c>
      <c r="DP41" s="64" t="str">
        <f t="shared" si="24"/>
        <v>AWARE</v>
      </c>
      <c r="DQ41" s="64" t="str">
        <f t="shared" si="24"/>
        <v>Price</v>
      </c>
      <c r="DR41" s="146"/>
      <c r="DS41" s="150"/>
      <c r="DT41" s="96"/>
      <c r="DU41" s="89" t="str">
        <f>CS41</f>
        <v>Amount</v>
      </c>
      <c r="DV41" s="137"/>
      <c r="DW41" s="137"/>
      <c r="DX41" s="160"/>
      <c r="DY41" s="64" t="str">
        <f t="shared" ref="DY41:EE42" si="25">H41</f>
        <v>GWP</v>
      </c>
      <c r="DZ41" s="64" t="str">
        <f t="shared" si="25"/>
        <v>CED</v>
      </c>
      <c r="EA41" s="64" t="str">
        <f t="shared" si="25"/>
        <v>AWARE</v>
      </c>
      <c r="EB41" s="64" t="str">
        <f t="shared" si="25"/>
        <v>GWP</v>
      </c>
      <c r="EC41" s="64" t="str">
        <f t="shared" si="25"/>
        <v>CED</v>
      </c>
      <c r="ED41" s="64" t="str">
        <f t="shared" si="25"/>
        <v>AWARE</v>
      </c>
      <c r="EE41" s="64" t="str">
        <f t="shared" si="25"/>
        <v>Price</v>
      </c>
      <c r="EF41" s="146"/>
      <c r="EG41" s="146"/>
      <c r="EH41" s="146"/>
      <c r="EI41" s="146"/>
      <c r="EJ41" s="146"/>
      <c r="EK41" s="146"/>
      <c r="EL41" s="146"/>
      <c r="EM41" s="146"/>
      <c r="EN41" s="146"/>
      <c r="EO41" s="146"/>
      <c r="EP41" s="146"/>
      <c r="EQ41" s="146"/>
      <c r="ER41" s="146"/>
      <c r="ES41" s="146"/>
      <c r="ET41" s="146"/>
      <c r="EU41" s="146"/>
      <c r="EV41" s="146"/>
      <c r="EW41" s="146"/>
      <c r="EX41" s="146"/>
      <c r="EY41" s="146"/>
      <c r="EZ41" s="146"/>
      <c r="FA41" s="146"/>
      <c r="FB41" s="146"/>
      <c r="FC41" s="146"/>
    </row>
    <row r="42" spans="1:159" ht="15" customHeight="1">
      <c r="C42" s="59"/>
      <c r="D42" s="186" t="str">
        <f>Input!G75</f>
        <v>[m³]</v>
      </c>
      <c r="F42" s="59"/>
      <c r="G42" s="110"/>
      <c r="H42" s="64" t="str">
        <f>VLOOKUP("Units_kg_CO2_m3",Hidden_Translations!$B$11:$J$1184,Hidden_Translations!$C$8,FALSE)</f>
        <v>[kg CO2 eq/m³]</v>
      </c>
      <c r="I42" s="64" t="str">
        <f>VLOOKUP("Units_MJ_m3",Hidden_Translations!$B$11:$J$1184,Hidden_Translations!$C$8,FALSE)</f>
        <v>[MJ/m³]</v>
      </c>
      <c r="J42" s="64" t="str">
        <f>VLOOKUP("Units_m3_m3",Hidden_Translations!$B$11:$J$1184,Hidden_Translations!$C$8,FALSE)</f>
        <v>[m3 eq./m³]</v>
      </c>
      <c r="K42" s="64" t="str">
        <f>K33</f>
        <v>[kg CO2 eq.]</v>
      </c>
      <c r="L42" s="64" t="str">
        <f>L33</f>
        <v>[MJ]</v>
      </c>
      <c r="M42" s="64" t="str">
        <f>M33</f>
        <v>[m³]</v>
      </c>
      <c r="N42" s="64" t="str">
        <f>N33</f>
        <v>[Euro]</v>
      </c>
      <c r="O42" s="93"/>
      <c r="P42" s="89"/>
      <c r="Q42" s="60"/>
      <c r="R42" s="89" t="str">
        <f>D42</f>
        <v>[m³]</v>
      </c>
      <c r="U42" s="141"/>
      <c r="V42" s="64" t="str">
        <f t="shared" si="17"/>
        <v>[kg CO2 eq/m³]</v>
      </c>
      <c r="W42" s="64" t="str">
        <f t="shared" si="17"/>
        <v>[MJ/m³]</v>
      </c>
      <c r="X42" s="64" t="str">
        <f t="shared" si="17"/>
        <v>[m3 eq./m³]</v>
      </c>
      <c r="Y42" s="64" t="str">
        <f t="shared" si="17"/>
        <v>[kg CO2 eq.]</v>
      </c>
      <c r="Z42" s="64" t="str">
        <f t="shared" si="17"/>
        <v>[MJ]</v>
      </c>
      <c r="AA42" s="64" t="str">
        <f t="shared" si="17"/>
        <v>[m³]</v>
      </c>
      <c r="AB42" s="64" t="str">
        <f t="shared" si="17"/>
        <v>[Euro]</v>
      </c>
      <c r="AC42" s="93"/>
      <c r="AD42" s="93"/>
      <c r="AE42" s="59"/>
      <c r="AF42" s="97" t="str">
        <f>D42</f>
        <v>[m³]</v>
      </c>
      <c r="AG42" s="146"/>
      <c r="AH42" s="59"/>
      <c r="AI42" s="110"/>
      <c r="AJ42" s="64" t="str">
        <f t="shared" si="18"/>
        <v>[kg CO2 eq/m³]</v>
      </c>
      <c r="AK42" s="64" t="str">
        <f t="shared" si="18"/>
        <v>[MJ/m³]</v>
      </c>
      <c r="AL42" s="64" t="str">
        <f t="shared" si="18"/>
        <v>[m3 eq./m³]</v>
      </c>
      <c r="AM42" s="64" t="str">
        <f t="shared" si="18"/>
        <v>[kg CO2 eq.]</v>
      </c>
      <c r="AN42" s="64" t="str">
        <f t="shared" si="18"/>
        <v>[MJ]</v>
      </c>
      <c r="AO42" s="64" t="str">
        <f t="shared" si="18"/>
        <v>[m³]</v>
      </c>
      <c r="AP42" s="64" t="str">
        <f t="shared" si="18"/>
        <v>[Euro]</v>
      </c>
      <c r="AQ42" s="146"/>
      <c r="AR42" s="89"/>
      <c r="AS42" s="60"/>
      <c r="AT42" s="89" t="str">
        <f>D42</f>
        <v>[m³]</v>
      </c>
      <c r="AU42" s="146"/>
      <c r="AV42" s="146"/>
      <c r="AW42" s="160"/>
      <c r="AX42" s="64" t="str">
        <f t="shared" si="19"/>
        <v>[kg CO2 eq/m³]</v>
      </c>
      <c r="AY42" s="64" t="str">
        <f t="shared" si="19"/>
        <v>[MJ/m³]</v>
      </c>
      <c r="AZ42" s="64" t="str">
        <f t="shared" si="19"/>
        <v>[m3 eq./m³]</v>
      </c>
      <c r="BA42" s="64" t="str">
        <f t="shared" si="19"/>
        <v>[kg CO2 eq.]</v>
      </c>
      <c r="BB42" s="64" t="str">
        <f t="shared" si="19"/>
        <v>[MJ]</v>
      </c>
      <c r="BC42" s="64" t="str">
        <f t="shared" si="19"/>
        <v>[m³]</v>
      </c>
      <c r="BD42" s="64"/>
      <c r="BE42" s="146"/>
      <c r="BF42" s="59"/>
      <c r="BG42" s="97" t="str">
        <f>D42</f>
        <v>[m³]</v>
      </c>
      <c r="BH42" s="146"/>
      <c r="BI42" s="64" t="str">
        <f t="shared" si="20"/>
        <v>[kg CO2 eq/m³]</v>
      </c>
      <c r="BJ42" s="64" t="str">
        <f t="shared" si="20"/>
        <v>[MJ/m³]</v>
      </c>
      <c r="BK42" s="64" t="str">
        <f t="shared" si="20"/>
        <v>[m3 eq./m³]</v>
      </c>
      <c r="BL42" s="64" t="str">
        <f t="shared" si="20"/>
        <v>[kg CO2 eq.]</v>
      </c>
      <c r="BM42" s="64" t="str">
        <f t="shared" si="20"/>
        <v>[MJ]</v>
      </c>
      <c r="BN42" s="64" t="str">
        <f t="shared" si="20"/>
        <v>[m³]</v>
      </c>
      <c r="BO42" s="146"/>
      <c r="BP42" s="89"/>
      <c r="BQ42" s="60"/>
      <c r="BR42" s="89" t="str">
        <f>R42</f>
        <v>[m³]</v>
      </c>
      <c r="BS42" s="146"/>
      <c r="BT42" s="146"/>
      <c r="BU42" s="160"/>
      <c r="BV42" s="64" t="str">
        <f t="shared" si="21"/>
        <v>[kg CO2 eq/m³]</v>
      </c>
      <c r="BW42" s="64" t="str">
        <f t="shared" si="21"/>
        <v>[MJ/m³]</v>
      </c>
      <c r="BX42" s="64" t="str">
        <f t="shared" si="21"/>
        <v>[m3 eq./m³]</v>
      </c>
      <c r="BY42" s="64" t="str">
        <f t="shared" si="21"/>
        <v>[kg CO2 eq.]</v>
      </c>
      <c r="BZ42" s="64" t="str">
        <f t="shared" si="21"/>
        <v>[MJ]</v>
      </c>
      <c r="CA42" s="64" t="str">
        <f t="shared" si="21"/>
        <v>[m³]</v>
      </c>
      <c r="CB42" s="142"/>
      <c r="CC42" s="146"/>
      <c r="CD42" s="59"/>
      <c r="CE42" s="97" t="str">
        <f>D42</f>
        <v>[m³]</v>
      </c>
      <c r="CF42" s="146"/>
      <c r="CG42" s="59"/>
      <c r="CH42" s="110"/>
      <c r="CI42" s="64" t="str">
        <f t="shared" si="22"/>
        <v>[kg CO2 eq/m³]</v>
      </c>
      <c r="CJ42" s="64" t="str">
        <f t="shared" si="22"/>
        <v>[MJ/m³]</v>
      </c>
      <c r="CK42" s="64" t="str">
        <f t="shared" si="22"/>
        <v>[m3 eq./m³]</v>
      </c>
      <c r="CL42" s="64" t="str">
        <f t="shared" si="22"/>
        <v>[kg CO2 eq.]</v>
      </c>
      <c r="CM42" s="64" t="str">
        <f t="shared" si="22"/>
        <v>[MJ]</v>
      </c>
      <c r="CN42" s="64" t="str">
        <f t="shared" si="22"/>
        <v>[m³]</v>
      </c>
      <c r="CO42" s="64" t="str">
        <f t="shared" si="22"/>
        <v>[Euro]</v>
      </c>
      <c r="CP42" s="146"/>
      <c r="CQ42" s="89"/>
      <c r="CR42" s="60"/>
      <c r="CS42" s="89" t="str">
        <f>R42</f>
        <v>[m³]</v>
      </c>
      <c r="CT42" s="146"/>
      <c r="CU42" s="146"/>
      <c r="CV42" s="160"/>
      <c r="CW42" s="64" t="str">
        <f t="shared" si="23"/>
        <v>[kg CO2 eq/m³]</v>
      </c>
      <c r="CX42" s="64" t="str">
        <f t="shared" si="23"/>
        <v>[MJ/m³]</v>
      </c>
      <c r="CY42" s="64" t="str">
        <f t="shared" si="23"/>
        <v>[m3 eq./m³]</v>
      </c>
      <c r="CZ42" s="64" t="str">
        <f t="shared" si="23"/>
        <v>[kg CO2 eq.]</v>
      </c>
      <c r="DA42" s="64" t="str">
        <f t="shared" si="23"/>
        <v>[MJ]</v>
      </c>
      <c r="DB42" s="64" t="str">
        <f t="shared" si="23"/>
        <v>[m³]</v>
      </c>
      <c r="DC42" s="64" t="str">
        <f t="shared" si="23"/>
        <v>[Euro]</v>
      </c>
      <c r="DD42" s="146"/>
      <c r="DE42" s="146"/>
      <c r="DF42" s="59"/>
      <c r="DG42" s="147" t="str">
        <f>D42</f>
        <v>[m³]</v>
      </c>
      <c r="DH42" s="146"/>
      <c r="DI42" s="59"/>
      <c r="DJ42" s="110"/>
      <c r="DK42" s="64" t="str">
        <f t="shared" si="24"/>
        <v>[kg CO2 eq/m³]</v>
      </c>
      <c r="DL42" s="64" t="str">
        <f t="shared" si="24"/>
        <v>[MJ/m³]</v>
      </c>
      <c r="DM42" s="64" t="str">
        <f t="shared" si="24"/>
        <v>[m3 eq./m³]</v>
      </c>
      <c r="DN42" s="64" t="str">
        <f t="shared" si="24"/>
        <v>[kg CO2 eq.]</v>
      </c>
      <c r="DO42" s="64" t="str">
        <f t="shared" si="24"/>
        <v>[MJ]</v>
      </c>
      <c r="DP42" s="64" t="str">
        <f t="shared" si="24"/>
        <v>[m³]</v>
      </c>
      <c r="DQ42" s="64" t="str">
        <f t="shared" si="24"/>
        <v>[Euro]</v>
      </c>
      <c r="DR42" s="146"/>
      <c r="DS42" s="89"/>
      <c r="DT42" s="60"/>
      <c r="DU42" s="89" t="str">
        <f>CS42</f>
        <v>[m³]</v>
      </c>
      <c r="DV42" s="146"/>
      <c r="DW42" s="146"/>
      <c r="DX42" s="160"/>
      <c r="DY42" s="64" t="str">
        <f t="shared" si="25"/>
        <v>[kg CO2 eq/m³]</v>
      </c>
      <c r="DZ42" s="64" t="str">
        <f t="shared" si="25"/>
        <v>[MJ/m³]</v>
      </c>
      <c r="EA42" s="64" t="str">
        <f t="shared" si="25"/>
        <v>[m3 eq./m³]</v>
      </c>
      <c r="EB42" s="64" t="str">
        <f t="shared" si="25"/>
        <v>[kg CO2 eq.]</v>
      </c>
      <c r="EC42" s="64" t="str">
        <f t="shared" si="25"/>
        <v>[MJ]</v>
      </c>
      <c r="ED42" s="64" t="str">
        <f t="shared" si="25"/>
        <v>[m³]</v>
      </c>
      <c r="EE42" s="64" t="str">
        <f t="shared" si="25"/>
        <v>[Euro]</v>
      </c>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row>
    <row r="43" spans="1:159" ht="15" customHeight="1">
      <c r="A43" s="142"/>
      <c r="B43" s="90" t="str">
        <f>Input!B75</f>
        <v>Water consumption per year</v>
      </c>
      <c r="C43" s="90" t="str">
        <f>Hidden_Database!C55</f>
        <v>Tap water</v>
      </c>
      <c r="D43" s="317">
        <f>+Input!F75</f>
        <v>0</v>
      </c>
      <c r="E43" s="90"/>
      <c r="F43" s="90"/>
      <c r="G43" s="90"/>
      <c r="H43" s="320">
        <f>VLOOKUP($C43,Hidden_Database!$C$11:$I$75,4,FALSE)</f>
        <v>0.67900000000000005</v>
      </c>
      <c r="I43" s="320">
        <f>VLOOKUP($C43,Hidden_Database!$C$11:$I$75,5,FALSE)</f>
        <v>11.1</v>
      </c>
      <c r="J43" s="321">
        <f>VLOOKUP($C43,Hidden_Database!$C$11:$I$75,6,FALSE)</f>
        <v>-0.188</v>
      </c>
      <c r="K43" s="348">
        <f>$D43*H43</f>
        <v>0</v>
      </c>
      <c r="L43" s="348">
        <f>$D43*I43</f>
        <v>0</v>
      </c>
      <c r="M43" s="348">
        <f>$D43*J43</f>
        <v>0</v>
      </c>
      <c r="N43" s="349">
        <f>Hidden_Database!J55*D43*SUM(E34:E38)/(365*24)</f>
        <v>0</v>
      </c>
      <c r="O43" s="142"/>
      <c r="P43" s="90" t="str">
        <f>B43</f>
        <v>Water consumption per year</v>
      </c>
      <c r="Q43" s="78" t="str">
        <f>C43</f>
        <v>Tap water</v>
      </c>
      <c r="R43" s="325">
        <f>+Input!F104</f>
        <v>0</v>
      </c>
      <c r="S43" s="90"/>
      <c r="T43" s="90"/>
      <c r="U43" s="90"/>
      <c r="V43" s="320">
        <f>VLOOKUP($Q43,Hidden_Database!$C$11:$I$75,4,FALSE)*1000</f>
        <v>679</v>
      </c>
      <c r="W43" s="320">
        <f>VLOOKUP($Q43,Hidden_Database!$C$11:$I$75,5,FALSE)*1000</f>
        <v>11100</v>
      </c>
      <c r="X43" s="321">
        <f>VLOOKUP($Q43,Hidden_Database!$C$11:$I$75,6,FALSE)*1000</f>
        <v>-188</v>
      </c>
      <c r="Y43" s="348" t="e">
        <f>$R43*V43*($Q$14/(365*24))*$Q$16</f>
        <v>#DIV/0!</v>
      </c>
      <c r="Z43" s="348" t="e">
        <f>$R43*W43*($Q$14/(365*24))*$Q$16</f>
        <v>#DIV/0!</v>
      </c>
      <c r="AA43" s="348" t="e">
        <f>$R43*X43*($Q$14/(365*24))*$Q$16</f>
        <v>#DIV/0!</v>
      </c>
      <c r="AB43" s="348" t="e">
        <f>Hidden_Database!J55*R43*($Q$14/(365*24))*$Q$16</f>
        <v>#DIV/0!</v>
      </c>
      <c r="AC43" s="93"/>
      <c r="AD43" s="90" t="str">
        <f>B43</f>
        <v>Water consumption per year</v>
      </c>
      <c r="AE43" s="90" t="str">
        <f>C43</f>
        <v>Tap water</v>
      </c>
      <c r="AF43" s="315">
        <f>+Input!F137</f>
        <v>0</v>
      </c>
      <c r="AG43" s="143"/>
      <c r="AH43" s="270"/>
      <c r="AI43" s="97"/>
      <c r="AJ43" s="320">
        <f>VLOOKUP($C43,Hidden_Database!$C$11:$I$75,4,FALSE)</f>
        <v>0.67900000000000005</v>
      </c>
      <c r="AK43" s="320">
        <f>VLOOKUP($C43,Hidden_Database!$C$11:$I$75,5,FALSE)</f>
        <v>11.1</v>
      </c>
      <c r="AL43" s="321">
        <f>VLOOKUP($C43,Hidden_Database!$C$11:$I$75,6,FALSE)</f>
        <v>-0.188</v>
      </c>
      <c r="AM43" s="348">
        <f>$AF43*AJ43</f>
        <v>0</v>
      </c>
      <c r="AN43" s="348">
        <f>$AF43*AK43</f>
        <v>0</v>
      </c>
      <c r="AO43" s="348">
        <f>$AF43*AL43</f>
        <v>0</v>
      </c>
      <c r="AP43" s="345">
        <f>Hidden_Database!J55*D43*SUM(E34:E38)/(365*24)</f>
        <v>0</v>
      </c>
      <c r="AQ43" s="146"/>
      <c r="AR43" s="143" t="str">
        <f>P43</f>
        <v>Water consumption per year</v>
      </c>
      <c r="AS43" s="91" t="str">
        <f>C43</f>
        <v>Tap water</v>
      </c>
      <c r="AT43" s="325">
        <f>+Input!F151</f>
        <v>0</v>
      </c>
      <c r="AU43" s="143"/>
      <c r="AV43" s="143"/>
      <c r="AW43" s="143"/>
      <c r="AX43" s="320">
        <f>VLOOKUP($AS43,Hidden_Database!$C$11:$I$75,4,FALSE)*1000</f>
        <v>679</v>
      </c>
      <c r="AY43" s="320">
        <f>VLOOKUP($AS43,Hidden_Database!$C$11:$I$75,5,FALSE)*1000</f>
        <v>11100</v>
      </c>
      <c r="AZ43" s="321">
        <f>VLOOKUP($AS43,Hidden_Database!$C$11:$I$75,6,FALSE)*1000</f>
        <v>-188</v>
      </c>
      <c r="BA43" s="348">
        <f>$AT43*AX43*$AS$14/(365*24)*($AS$16)</f>
        <v>0</v>
      </c>
      <c r="BB43" s="348">
        <f>$AT43*AY43*$AS$14/(365*24)*($AS$16)</f>
        <v>0</v>
      </c>
      <c r="BC43" s="348">
        <f>$AT43*AZ43*$AS$14/(365*24)*($AS$16)</f>
        <v>0</v>
      </c>
      <c r="BD43" s="111"/>
      <c r="BE43" s="143" t="str">
        <f>B43</f>
        <v>Water consumption per year</v>
      </c>
      <c r="BF43" s="91" t="str">
        <f>C43</f>
        <v>Tap water</v>
      </c>
      <c r="BG43" s="315">
        <f>+Input!F165</f>
        <v>0</v>
      </c>
      <c r="BH43" s="143"/>
      <c r="BI43" s="320">
        <f>VLOOKUP($BF43,Hidden_Database!$C$11:$I$75,4,FALSE)</f>
        <v>0.67900000000000005</v>
      </c>
      <c r="BJ43" s="320">
        <f>VLOOKUP($BF43,Hidden_Database!$C$11:$I$75,5,FALSE)</f>
        <v>11.1</v>
      </c>
      <c r="BK43" s="321">
        <f>VLOOKUP($BF43,Hidden_Database!$C$11:$I$75,6,FALSE)</f>
        <v>-0.188</v>
      </c>
      <c r="BL43" s="348">
        <f>$BG43*BI43</f>
        <v>0</v>
      </c>
      <c r="BM43" s="348">
        <f>$BG43*BJ43</f>
        <v>0</v>
      </c>
      <c r="BN43" s="348">
        <f>$BG43*BK43</f>
        <v>0</v>
      </c>
      <c r="BO43" s="146"/>
      <c r="BP43" s="143" t="str">
        <f>P43</f>
        <v>Water consumption per year</v>
      </c>
      <c r="BQ43" s="91" t="str">
        <f>C43</f>
        <v>Tap water</v>
      </c>
      <c r="BR43" s="325">
        <f>+Input!F179</f>
        <v>0</v>
      </c>
      <c r="BS43" s="143"/>
      <c r="BT43" s="143"/>
      <c r="BU43" s="143"/>
      <c r="BV43" s="320">
        <f>VLOOKUP($BQ43,Hidden_Database!$C$11:$I$75,4,FALSE)*1000</f>
        <v>679</v>
      </c>
      <c r="BW43" s="320">
        <f>VLOOKUP($BQ43,Hidden_Database!$C$11:$I$75,5,FALSE)*1000</f>
        <v>11100</v>
      </c>
      <c r="BX43" s="321">
        <f>VLOOKUP($BQ43,Hidden_Database!$C$11:$I$75,6,FALSE)*1000</f>
        <v>-188</v>
      </c>
      <c r="BY43" s="348">
        <f>$BR43*BV43*$BQ$14/(365*24)*($BQ$16)</f>
        <v>0</v>
      </c>
      <c r="BZ43" s="348">
        <f>$BR43*BW43*$BQ$14/(365*24)*($BQ$16)</f>
        <v>0</v>
      </c>
      <c r="CA43" s="348">
        <f>$BR43*BX43*$BQ$14/(365*24)*($BQ$16)</f>
        <v>0</v>
      </c>
      <c r="CB43" s="142"/>
      <c r="CC43" s="143" t="str">
        <f>B43</f>
        <v>Water consumption per year</v>
      </c>
      <c r="CD43" s="91" t="str">
        <f>C43</f>
        <v>Tap water</v>
      </c>
      <c r="CE43" s="315">
        <f>+Input!F202</f>
        <v>0</v>
      </c>
      <c r="CF43" s="143"/>
      <c r="CG43" s="143"/>
      <c r="CH43" s="143"/>
      <c r="CI43" s="320">
        <f>VLOOKUP($CD43,Hidden_Database!$C$11:$I$75,4,FALSE)</f>
        <v>0.67900000000000005</v>
      </c>
      <c r="CJ43" s="320">
        <f>VLOOKUP($CD43,Hidden_Database!$C$11:$I$75,5,FALSE)</f>
        <v>11.1</v>
      </c>
      <c r="CK43" s="321">
        <f>VLOOKUP($CD43,Hidden_Database!$C$11:$I$75,6,FALSE)</f>
        <v>-0.188</v>
      </c>
      <c r="CL43" s="348">
        <f>$CE43*CI43</f>
        <v>0</v>
      </c>
      <c r="CM43" s="348">
        <f>$CE43*CJ43</f>
        <v>0</v>
      </c>
      <c r="CN43" s="348">
        <f>$CE43*CK43</f>
        <v>0</v>
      </c>
      <c r="CO43" s="345">
        <f>Hidden_Database!J55*CE43*SUM(CF34:CF38)/(365*24)</f>
        <v>0</v>
      </c>
      <c r="CP43" s="146"/>
      <c r="CQ43" s="137" t="str">
        <f>P43</f>
        <v>Water consumption per year</v>
      </c>
      <c r="CR43" s="91" t="str">
        <f>C43</f>
        <v>Tap water</v>
      </c>
      <c r="CS43" s="325">
        <f>+Input!F219</f>
        <v>0</v>
      </c>
      <c r="CT43" s="151"/>
      <c r="CU43" s="151"/>
      <c r="CV43" s="160"/>
      <c r="CW43" s="320">
        <f>VLOOKUP($CR43,Hidden_Database!$C$11:$I$75,4,FALSE)*1000</f>
        <v>679</v>
      </c>
      <c r="CX43" s="320">
        <f>VLOOKUP($CR43,Hidden_Database!$C$11:$I$75,5,FALSE)*1000</f>
        <v>11100</v>
      </c>
      <c r="CY43" s="321">
        <f>VLOOKUP($CR43,Hidden_Database!$C$11:$I$75,6,FALSE)*1000</f>
        <v>-188</v>
      </c>
      <c r="CZ43" s="348">
        <f>$CS43*CW43*$CR$14/(365*24)*($CR$16)</f>
        <v>0</v>
      </c>
      <c r="DA43" s="348">
        <f>$CS43*CX43*$CR$14/(365*24)*($CR$16)</f>
        <v>0</v>
      </c>
      <c r="DB43" s="348">
        <f>$CS43*CY43*$CR$14/(365*24)*($CR$16)</f>
        <v>0</v>
      </c>
      <c r="DC43" s="348">
        <f>Hidden_Database!J55*CS43*($CR$14/(365*24))*$CR$16</f>
        <v>0</v>
      </c>
      <c r="DD43" s="146"/>
      <c r="DE43" s="143" t="str">
        <f>B43</f>
        <v>Water consumption per year</v>
      </c>
      <c r="DF43" s="91" t="str">
        <f>C43</f>
        <v>Tap water</v>
      </c>
      <c r="DG43" s="315">
        <f>+Input!F250</f>
        <v>0</v>
      </c>
      <c r="DH43" s="143"/>
      <c r="DI43" s="270"/>
      <c r="DJ43" s="97"/>
      <c r="DK43" s="320">
        <f>VLOOKUP($DF43,Hidden_Database!$C$11:$I$75,4,FALSE)</f>
        <v>0.67900000000000005</v>
      </c>
      <c r="DL43" s="320">
        <f>VLOOKUP($DF43,Hidden_Database!$C$11:$I$75,5,FALSE)</f>
        <v>11.1</v>
      </c>
      <c r="DM43" s="321">
        <f>VLOOKUP($DF43,Hidden_Database!$C$11:$I$75,6,FALSE)</f>
        <v>-0.188</v>
      </c>
      <c r="DN43" s="348">
        <f>$DG43*DK43</f>
        <v>0</v>
      </c>
      <c r="DO43" s="348">
        <f>$DG43*DL43</f>
        <v>0</v>
      </c>
      <c r="DP43" s="348">
        <f>$DG43*DM43</f>
        <v>0</v>
      </c>
      <c r="DQ43" s="345">
        <f>Hidden_Database!J55*DG43*SUM(DH34:DH38)/(365*24)</f>
        <v>0</v>
      </c>
      <c r="DR43" s="146"/>
      <c r="DS43" s="143" t="str">
        <f>CQ43</f>
        <v>Water consumption per year</v>
      </c>
      <c r="DT43" s="91" t="str">
        <f>C43</f>
        <v>Tap water</v>
      </c>
      <c r="DU43" s="325">
        <f>+Input!F267</f>
        <v>0</v>
      </c>
      <c r="DV43" s="143"/>
      <c r="DW43" s="143"/>
      <c r="DX43" s="143"/>
      <c r="DY43" s="320">
        <f>VLOOKUP($DT43,Hidden_Database!$C$11:$I$75,4,FALSE)*1000</f>
        <v>679</v>
      </c>
      <c r="DZ43" s="320">
        <f>VLOOKUP($DT43,Hidden_Database!$C$11:$I$75,5,FALSE)*1000</f>
        <v>11100</v>
      </c>
      <c r="EA43" s="321">
        <f>VLOOKUP($DT43,Hidden_Database!$C$11:$I$75,6,FALSE)*1000</f>
        <v>-188</v>
      </c>
      <c r="EB43" s="348">
        <f>$DU43*DY43*$DT$14/(365*24)*($DT$16)</f>
        <v>0</v>
      </c>
      <c r="EC43" s="348">
        <f>$DU43*DZ43*$DT$14/(365*24)*($DT$16)</f>
        <v>0</v>
      </c>
      <c r="ED43" s="348">
        <f>$DU43*EA43*$DT$14/(365*24)*($DT$16)</f>
        <v>0</v>
      </c>
      <c r="EE43" s="348">
        <f>Hidden_Database!J55*DU43*($DT$14/(365*24))*$DT$16</f>
        <v>0</v>
      </c>
      <c r="EF43" s="146"/>
      <c r="EG43" s="146"/>
      <c r="EH43" s="146"/>
      <c r="EI43" s="146"/>
      <c r="EJ43" s="146"/>
      <c r="EK43" s="146"/>
      <c r="EL43" s="146"/>
      <c r="EM43" s="146"/>
      <c r="EN43" s="146"/>
      <c r="EO43" s="146"/>
      <c r="EP43" s="146"/>
      <c r="EQ43" s="146"/>
      <c r="ER43" s="146"/>
      <c r="ES43" s="146"/>
      <c r="ET43" s="146"/>
      <c r="EU43" s="146"/>
      <c r="EV43" s="146"/>
      <c r="EW43" s="146"/>
      <c r="EX43" s="146"/>
      <c r="EY43" s="146"/>
      <c r="EZ43" s="146"/>
      <c r="FA43" s="146"/>
      <c r="FB43" s="146"/>
      <c r="FC43" s="146"/>
    </row>
    <row r="44" spans="1:159" ht="15" customHeight="1">
      <c r="B44" s="90"/>
      <c r="C44" s="161"/>
      <c r="D44" s="108"/>
      <c r="E44" s="108"/>
      <c r="F44" s="108"/>
      <c r="G44" s="182"/>
      <c r="H44" s="62"/>
      <c r="I44" s="62"/>
      <c r="J44" s="109"/>
      <c r="K44" s="62"/>
      <c r="L44" s="62"/>
      <c r="M44" s="62"/>
      <c r="N44" s="62"/>
      <c r="O44" s="93"/>
      <c r="AC44" s="93"/>
      <c r="AD44" s="90"/>
      <c r="AE44" s="161"/>
      <c r="AF44" s="266"/>
      <c r="AG44" s="266"/>
      <c r="AH44" s="266"/>
      <c r="AI44" s="267"/>
      <c r="AJ44" s="62"/>
      <c r="AK44" s="62"/>
      <c r="AL44" s="109"/>
      <c r="AM44" s="62"/>
      <c r="AN44" s="62"/>
      <c r="AO44" s="62"/>
      <c r="AP44" s="62"/>
      <c r="AQ44" s="146"/>
      <c r="AR44" s="142"/>
      <c r="AS44" s="146"/>
      <c r="AT44" s="146"/>
      <c r="AU44" s="146"/>
      <c r="AV44" s="146"/>
      <c r="AW44" s="146"/>
      <c r="AX44" s="146"/>
      <c r="AY44" s="146"/>
      <c r="AZ44" s="146"/>
      <c r="BA44" s="146"/>
      <c r="BB44" s="146"/>
      <c r="BC44" s="146"/>
      <c r="BD44" s="142"/>
      <c r="BE44" s="143"/>
      <c r="BF44" s="145"/>
      <c r="BG44" s="266"/>
      <c r="BH44" s="268"/>
      <c r="BI44" s="62"/>
      <c r="BJ44" s="62"/>
      <c r="BK44" s="109"/>
      <c r="BL44" s="62"/>
      <c r="BM44" s="62"/>
      <c r="BN44" s="62"/>
      <c r="BO44" s="146"/>
      <c r="BP44" s="146"/>
      <c r="BQ44" s="146"/>
      <c r="BR44" s="146"/>
      <c r="BS44" s="146"/>
      <c r="BT44" s="146"/>
      <c r="BU44" s="146"/>
      <c r="BV44" s="146"/>
      <c r="BW44" s="146"/>
      <c r="BX44" s="146"/>
      <c r="BY44" s="146"/>
      <c r="BZ44" s="146"/>
      <c r="CA44" s="146"/>
      <c r="CB44" s="142"/>
      <c r="CC44" s="143"/>
      <c r="CD44" s="145"/>
      <c r="CE44" s="266"/>
      <c r="CF44" s="266"/>
      <c r="CG44" s="266"/>
      <c r="CH44" s="267"/>
      <c r="CI44" s="62"/>
      <c r="CJ44" s="62"/>
      <c r="CK44" s="109"/>
      <c r="CL44" s="62"/>
      <c r="CM44" s="62"/>
      <c r="CN44" s="62"/>
      <c r="CO44" s="62"/>
      <c r="CP44" s="146"/>
      <c r="CQ44" s="146"/>
      <c r="CR44" s="142"/>
      <c r="CS44" s="146"/>
      <c r="CT44" s="146"/>
      <c r="CU44" s="146"/>
      <c r="CV44" s="146"/>
      <c r="CW44" s="146"/>
      <c r="CX44" s="146"/>
      <c r="CY44" s="146"/>
      <c r="CZ44" s="146"/>
      <c r="DA44" s="146"/>
      <c r="DB44" s="146"/>
      <c r="DC44" s="146"/>
      <c r="DD44" s="146"/>
      <c r="DE44" s="143"/>
      <c r="DF44" s="145"/>
      <c r="DG44" s="266"/>
      <c r="DH44" s="266"/>
      <c r="DI44" s="266"/>
      <c r="DJ44" s="267"/>
      <c r="DK44" s="62"/>
      <c r="DL44" s="62"/>
      <c r="DM44" s="109"/>
      <c r="DN44" s="62"/>
      <c r="DO44" s="62"/>
      <c r="DP44" s="62"/>
      <c r="DQ44" s="62"/>
      <c r="DR44" s="146"/>
      <c r="DS44" s="146"/>
      <c r="DT44" s="142"/>
      <c r="DU44" s="146"/>
      <c r="DV44" s="146"/>
      <c r="DW44" s="146"/>
      <c r="DX44" s="146"/>
      <c r="DY44" s="146"/>
      <c r="DZ44" s="146"/>
      <c r="EA44" s="146"/>
      <c r="EB44" s="146"/>
      <c r="EC44" s="146"/>
      <c r="ED44" s="146"/>
      <c r="EE44" s="146"/>
      <c r="EF44" s="146"/>
      <c r="EG44" s="146"/>
      <c r="EH44" s="146"/>
      <c r="EI44" s="146"/>
      <c r="EJ44" s="146"/>
      <c r="EK44" s="146"/>
      <c r="EL44" s="146"/>
      <c r="EM44" s="146"/>
      <c r="EN44" s="146"/>
      <c r="EO44" s="146"/>
      <c r="EP44" s="146"/>
      <c r="EQ44" s="146"/>
      <c r="ER44" s="146"/>
      <c r="ES44" s="146"/>
      <c r="ET44" s="146"/>
      <c r="EU44" s="146"/>
      <c r="EV44" s="146"/>
      <c r="EW44" s="146"/>
      <c r="EX44" s="146"/>
      <c r="EY44" s="146"/>
      <c r="EZ44" s="146"/>
      <c r="FA44" s="146"/>
      <c r="FB44" s="146"/>
      <c r="FC44" s="146"/>
    </row>
    <row r="45" spans="1:159">
      <c r="B45" s="69" t="str">
        <f>VLOOKUP("Hidden_Calculation_Header_5_LCA_Energy",Hidden_Translations!$B$11:$J$1184,Hidden_Translations!$C$8,FALSE)</f>
        <v>#5: LCA: Energy use</v>
      </c>
      <c r="C45" s="70"/>
      <c r="D45" s="70"/>
      <c r="E45" s="70"/>
      <c r="F45" s="70"/>
      <c r="G45" s="70"/>
      <c r="H45" s="70"/>
      <c r="I45" s="70"/>
      <c r="J45" s="70"/>
      <c r="K45" s="70"/>
      <c r="L45" s="70"/>
      <c r="M45" s="70"/>
      <c r="N45" s="70"/>
      <c r="O45" s="93"/>
      <c r="P45" s="69" t="str">
        <f>B45</f>
        <v>#5: LCA: Energy use</v>
      </c>
      <c r="Q45" s="70"/>
      <c r="R45" s="70"/>
      <c r="S45" s="169"/>
      <c r="T45" s="169"/>
      <c r="U45" s="70"/>
      <c r="V45" s="70"/>
      <c r="W45" s="70"/>
      <c r="X45" s="70"/>
      <c r="Y45" s="70"/>
      <c r="Z45" s="70"/>
      <c r="AA45" s="70"/>
      <c r="AB45" s="70"/>
      <c r="AC45" s="93"/>
      <c r="AD45" s="69" t="str">
        <f>B45</f>
        <v>#5: LCA: Energy use</v>
      </c>
      <c r="AE45" s="70"/>
      <c r="AF45" s="180"/>
      <c r="AG45" s="180"/>
      <c r="AH45" s="180"/>
      <c r="AI45" s="180"/>
      <c r="AJ45" s="180"/>
      <c r="AK45" s="180"/>
      <c r="AL45" s="180"/>
      <c r="AM45" s="180"/>
      <c r="AN45" s="180"/>
      <c r="AO45" s="180"/>
      <c r="AP45" s="180"/>
      <c r="AQ45" s="146"/>
      <c r="AR45" s="69" t="str">
        <f>B45</f>
        <v>#5: LCA: Energy use</v>
      </c>
      <c r="AS45" s="180"/>
      <c r="AT45" s="180"/>
      <c r="AU45" s="269"/>
      <c r="AV45" s="269"/>
      <c r="AW45" s="180"/>
      <c r="AX45" s="180"/>
      <c r="AY45" s="180"/>
      <c r="AZ45" s="180"/>
      <c r="BA45" s="180"/>
      <c r="BB45" s="180"/>
      <c r="BC45" s="180"/>
      <c r="BD45" s="142"/>
      <c r="BE45" s="69" t="str">
        <f>B45</f>
        <v>#5: LCA: Energy use</v>
      </c>
      <c r="BF45" s="180"/>
      <c r="BG45" s="180"/>
      <c r="BH45" s="180"/>
      <c r="BI45" s="180"/>
      <c r="BJ45" s="180"/>
      <c r="BK45" s="180"/>
      <c r="BL45" s="180"/>
      <c r="BM45" s="180"/>
      <c r="BN45" s="180"/>
      <c r="BO45" s="146"/>
      <c r="BP45" s="69" t="str">
        <f>B45</f>
        <v>#5: LCA: Energy use</v>
      </c>
      <c r="BQ45" s="180"/>
      <c r="BR45" s="180"/>
      <c r="BS45" s="269"/>
      <c r="BT45" s="269"/>
      <c r="BU45" s="180"/>
      <c r="BV45" s="180"/>
      <c r="BW45" s="180"/>
      <c r="BX45" s="180"/>
      <c r="BY45" s="180"/>
      <c r="BZ45" s="180"/>
      <c r="CA45" s="180"/>
      <c r="CB45" s="142"/>
      <c r="CC45" s="69" t="str">
        <f>B45</f>
        <v>#5: LCA: Energy use</v>
      </c>
      <c r="CD45" s="180"/>
      <c r="CE45" s="180"/>
      <c r="CF45" s="180"/>
      <c r="CG45" s="180"/>
      <c r="CH45" s="180"/>
      <c r="CI45" s="180"/>
      <c r="CJ45" s="180"/>
      <c r="CK45" s="180"/>
      <c r="CL45" s="180"/>
      <c r="CM45" s="180"/>
      <c r="CN45" s="180"/>
      <c r="CO45" s="180"/>
      <c r="CP45" s="146"/>
      <c r="CQ45" s="172" t="str">
        <f>B45</f>
        <v>#5: LCA: Energy use</v>
      </c>
      <c r="CR45" s="173"/>
      <c r="CS45" s="173"/>
      <c r="CT45" s="173"/>
      <c r="CU45" s="173"/>
      <c r="CV45" s="173"/>
      <c r="CW45" s="173"/>
      <c r="CX45" s="173"/>
      <c r="CY45" s="173"/>
      <c r="CZ45" s="172"/>
      <c r="DA45" s="173"/>
      <c r="DB45" s="172"/>
      <c r="DC45" s="172"/>
      <c r="DD45" s="146"/>
      <c r="DE45" s="69" t="str">
        <f>B45</f>
        <v>#5: LCA: Energy use</v>
      </c>
      <c r="DF45" s="180"/>
      <c r="DG45" s="180"/>
      <c r="DH45" s="180"/>
      <c r="DI45" s="180"/>
      <c r="DJ45" s="180"/>
      <c r="DK45" s="180"/>
      <c r="DL45" s="180"/>
      <c r="DM45" s="180"/>
      <c r="DN45" s="180"/>
      <c r="DO45" s="180"/>
      <c r="DP45" s="180"/>
      <c r="DQ45" s="180"/>
      <c r="DR45" s="146"/>
      <c r="DS45" s="172" t="str">
        <f>B45</f>
        <v>#5: LCA: Energy use</v>
      </c>
      <c r="DT45" s="173"/>
      <c r="DU45" s="173"/>
      <c r="DV45" s="173"/>
      <c r="DW45" s="173"/>
      <c r="DX45" s="173"/>
      <c r="DY45" s="173"/>
      <c r="DZ45" s="173"/>
      <c r="EA45" s="173"/>
      <c r="EB45" s="172"/>
      <c r="EC45" s="173"/>
      <c r="ED45" s="172"/>
      <c r="EE45" s="172"/>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row>
    <row r="46" spans="1:159" ht="15" customHeight="1">
      <c r="B46" s="14"/>
      <c r="C46" s="15"/>
      <c r="D46" s="186"/>
      <c r="E46" s="71"/>
      <c r="F46" s="15"/>
      <c r="G46" s="15"/>
      <c r="H46" s="64"/>
      <c r="I46" s="64"/>
      <c r="J46" s="64"/>
      <c r="K46" s="64"/>
      <c r="L46" s="64"/>
      <c r="M46" s="64"/>
      <c r="N46" s="64"/>
      <c r="O46" s="93"/>
      <c r="P46" s="150"/>
      <c r="Q46" s="96"/>
      <c r="R46" s="89"/>
      <c r="S46" s="137"/>
      <c r="T46" s="137"/>
      <c r="U46" s="160"/>
      <c r="V46" s="64"/>
      <c r="W46" s="64"/>
      <c r="X46" s="64"/>
      <c r="Y46" s="64"/>
      <c r="Z46" s="64"/>
      <c r="AA46" s="64"/>
      <c r="AB46" s="64"/>
      <c r="AC46" s="64"/>
      <c r="AD46" s="137"/>
      <c r="AE46" s="137"/>
      <c r="AF46" s="137"/>
      <c r="AG46" s="137"/>
      <c r="AH46" s="137"/>
      <c r="AI46" s="137"/>
      <c r="AJ46" s="137"/>
      <c r="AK46" s="137"/>
      <c r="AL46" s="137"/>
      <c r="AM46" s="137"/>
      <c r="AN46" s="137"/>
      <c r="AO46" s="137"/>
      <c r="AP46" s="137"/>
      <c r="AQ46" s="146"/>
      <c r="AR46" s="150"/>
      <c r="AS46" s="96"/>
      <c r="AT46" s="89"/>
      <c r="AU46" s="137"/>
      <c r="AV46" s="137"/>
      <c r="AW46" s="160"/>
      <c r="AX46" s="64"/>
      <c r="AY46" s="64"/>
      <c r="AZ46" s="64"/>
      <c r="BA46" s="64"/>
      <c r="BB46" s="64"/>
      <c r="BC46" s="64"/>
      <c r="BD46" s="91"/>
      <c r="BE46" s="14"/>
      <c r="BF46" s="71"/>
      <c r="BG46" s="97"/>
      <c r="BH46" s="71"/>
      <c r="BI46" s="64"/>
      <c r="BJ46" s="64"/>
      <c r="BK46" s="64"/>
      <c r="BL46" s="64"/>
      <c r="BM46" s="64"/>
      <c r="BN46" s="64"/>
      <c r="BO46" s="146"/>
      <c r="BP46" s="150"/>
      <c r="BQ46" s="96"/>
      <c r="BR46" s="89"/>
      <c r="BS46" s="137"/>
      <c r="BT46" s="137"/>
      <c r="BU46" s="160"/>
      <c r="BV46" s="64"/>
      <c r="BW46" s="64"/>
      <c r="BX46" s="64"/>
      <c r="BY46" s="64"/>
      <c r="BZ46" s="64"/>
      <c r="CA46" s="64"/>
      <c r="CB46" s="142"/>
      <c r="CC46" s="14"/>
      <c r="CD46" s="71"/>
      <c r="CE46" s="97"/>
      <c r="CF46" s="71"/>
      <c r="CG46" s="71"/>
      <c r="CH46" s="71"/>
      <c r="CI46" s="64"/>
      <c r="CJ46" s="64"/>
      <c r="CK46" s="64"/>
      <c r="CL46" s="64"/>
      <c r="CM46" s="64"/>
      <c r="CN46" s="64"/>
      <c r="CO46" s="64"/>
      <c r="CP46" s="146"/>
      <c r="CQ46" s="150"/>
      <c r="CR46" s="96"/>
      <c r="CS46" s="89"/>
      <c r="CT46" s="137"/>
      <c r="CU46" s="137"/>
      <c r="CV46" s="160"/>
      <c r="CW46" s="64"/>
      <c r="CX46" s="64"/>
      <c r="CY46" s="64"/>
      <c r="CZ46" s="64"/>
      <c r="DA46" s="64"/>
      <c r="DB46" s="64"/>
      <c r="DC46" s="64"/>
      <c r="DD46" s="146"/>
      <c r="DE46" s="14"/>
      <c r="DF46" s="71"/>
      <c r="DG46" s="97"/>
      <c r="DH46" s="71"/>
      <c r="DI46" s="71"/>
      <c r="DJ46" s="71"/>
      <c r="DK46" s="64"/>
      <c r="DL46" s="64"/>
      <c r="DM46" s="64"/>
      <c r="DN46" s="64"/>
      <c r="DO46" s="64"/>
      <c r="DP46" s="64"/>
      <c r="DQ46" s="64"/>
      <c r="DR46" s="146"/>
      <c r="DS46" s="150"/>
      <c r="DT46" s="96"/>
      <c r="DU46" s="89"/>
      <c r="DV46" s="137"/>
      <c r="DW46" s="137"/>
      <c r="DX46" s="160"/>
      <c r="DY46" s="64"/>
      <c r="DZ46" s="64"/>
      <c r="EA46" s="64"/>
      <c r="EB46" s="64"/>
      <c r="EC46" s="64"/>
      <c r="ED46" s="64"/>
      <c r="EE46" s="64"/>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row>
    <row r="47" spans="1:159" ht="15" customHeight="1">
      <c r="A47" s="142"/>
      <c r="B47" s="15"/>
      <c r="C47" s="15"/>
      <c r="D47" s="15"/>
      <c r="E47" s="15"/>
      <c r="F47" s="15"/>
      <c r="G47" s="15"/>
      <c r="H47" s="15"/>
      <c r="I47" s="15"/>
      <c r="J47" s="15"/>
      <c r="K47" s="15"/>
      <c r="L47" s="15"/>
      <c r="M47" s="15"/>
      <c r="N47" s="15"/>
      <c r="O47" s="142"/>
      <c r="Q47" s="60"/>
      <c r="U47" s="141" t="str">
        <f>VLOOKUP("Units_kWh_unit",Hidden_Translations!$B$11:$J$1184,Hidden_Translations!$C$8,FALSE)</f>
        <v>[kWh/unit]</v>
      </c>
      <c r="V47" s="64" t="str">
        <f t="shared" ref="V47:AA47" si="26">V20</f>
        <v>[kg CO2 eq/unit]</v>
      </c>
      <c r="W47" s="64" t="str">
        <f t="shared" si="26"/>
        <v>[MJ/unit]</v>
      </c>
      <c r="X47" s="64" t="str">
        <f t="shared" si="26"/>
        <v>[m³ eq/unit]</v>
      </c>
      <c r="Y47" s="64" t="str">
        <f t="shared" si="26"/>
        <v>[kg CO2 eq.]</v>
      </c>
      <c r="Z47" s="64" t="str">
        <f t="shared" si="26"/>
        <v>[MJ]</v>
      </c>
      <c r="AA47" s="64" t="str">
        <f t="shared" si="26"/>
        <v>[m³]</v>
      </c>
      <c r="AB47" s="64" t="str">
        <f>AB42</f>
        <v>[Euro]</v>
      </c>
      <c r="AC47" s="93"/>
      <c r="AD47" s="137"/>
      <c r="AE47" s="137"/>
      <c r="AF47" s="137"/>
      <c r="AG47" s="137"/>
      <c r="AH47" s="137"/>
      <c r="AI47" s="137"/>
      <c r="AJ47" s="137"/>
      <c r="AK47" s="137"/>
      <c r="AL47" s="137"/>
      <c r="AM47" s="137"/>
      <c r="AN47" s="137"/>
      <c r="AO47" s="137"/>
      <c r="AP47" s="137"/>
      <c r="AQ47" s="146"/>
      <c r="AR47" s="146"/>
      <c r="AS47" s="60"/>
      <c r="AT47" s="146"/>
      <c r="AU47" s="146"/>
      <c r="AV47" s="146"/>
      <c r="AW47" s="160" t="str">
        <f t="shared" ref="AW47:BC47" si="27">U47</f>
        <v>[kWh/unit]</v>
      </c>
      <c r="AX47" s="64" t="str">
        <f t="shared" si="27"/>
        <v>[kg CO2 eq/unit]</v>
      </c>
      <c r="AY47" s="64" t="str">
        <f t="shared" si="27"/>
        <v>[MJ/unit]</v>
      </c>
      <c r="AZ47" s="64" t="str">
        <f t="shared" si="27"/>
        <v>[m³ eq/unit]</v>
      </c>
      <c r="BA47" s="64" t="str">
        <f t="shared" si="27"/>
        <v>[kg CO2 eq.]</v>
      </c>
      <c r="BB47" s="64" t="str">
        <f t="shared" si="27"/>
        <v>[MJ]</v>
      </c>
      <c r="BC47" s="64" t="str">
        <f t="shared" si="27"/>
        <v>[m³]</v>
      </c>
      <c r="BD47" s="111"/>
      <c r="BE47" s="51"/>
      <c r="BF47" s="51"/>
      <c r="BG47" s="51"/>
      <c r="BH47" s="51"/>
      <c r="BI47" s="51"/>
      <c r="BJ47" s="62"/>
      <c r="BK47" s="62"/>
      <c r="BL47" s="111"/>
      <c r="BM47" s="111"/>
      <c r="BN47" s="111"/>
      <c r="BO47" s="146"/>
      <c r="BP47" s="146"/>
      <c r="BQ47" s="60"/>
      <c r="BR47" s="146"/>
      <c r="BS47" s="146"/>
      <c r="BT47" s="146"/>
      <c r="BU47" s="146"/>
      <c r="BV47" s="89" t="str">
        <f t="shared" ref="BV47:CA47" si="28">V47</f>
        <v>[kg CO2 eq/unit]</v>
      </c>
      <c r="BW47" s="89" t="str">
        <f t="shared" si="28"/>
        <v>[MJ/unit]</v>
      </c>
      <c r="BX47" s="89" t="str">
        <f t="shared" si="28"/>
        <v>[m³ eq/unit]</v>
      </c>
      <c r="BY47" s="89" t="str">
        <f t="shared" si="28"/>
        <v>[kg CO2 eq.]</v>
      </c>
      <c r="BZ47" s="89" t="str">
        <f t="shared" si="28"/>
        <v>[MJ]</v>
      </c>
      <c r="CA47" s="89" t="str">
        <f t="shared" si="28"/>
        <v>[m³]</v>
      </c>
      <c r="CB47" s="142"/>
      <c r="CC47" s="146"/>
      <c r="CD47" s="146"/>
      <c r="CE47" s="146"/>
      <c r="CF47" s="146"/>
      <c r="CG47" s="146"/>
      <c r="CH47" s="146"/>
      <c r="CI47" s="146"/>
      <c r="CJ47" s="146"/>
      <c r="CK47" s="146"/>
      <c r="CL47" s="146"/>
      <c r="CM47" s="146"/>
      <c r="CN47" s="146"/>
      <c r="CO47" s="146"/>
      <c r="CP47" s="146"/>
      <c r="CQ47" s="146"/>
      <c r="CR47" s="60"/>
      <c r="CS47" s="146"/>
      <c r="CT47" s="146"/>
      <c r="CU47" s="146"/>
      <c r="CV47" s="160" t="str">
        <f t="shared" ref="CV47:DC47" si="29">U47</f>
        <v>[kWh/unit]</v>
      </c>
      <c r="CW47" s="64" t="str">
        <f t="shared" si="29"/>
        <v>[kg CO2 eq/unit]</v>
      </c>
      <c r="CX47" s="64" t="str">
        <f t="shared" si="29"/>
        <v>[MJ/unit]</v>
      </c>
      <c r="CY47" s="64" t="str">
        <f t="shared" si="29"/>
        <v>[m³ eq/unit]</v>
      </c>
      <c r="CZ47" s="64" t="str">
        <f t="shared" si="29"/>
        <v>[kg CO2 eq.]</v>
      </c>
      <c r="DA47" s="64" t="str">
        <f t="shared" si="29"/>
        <v>[MJ]</v>
      </c>
      <c r="DB47" s="64" t="str">
        <f t="shared" si="29"/>
        <v>[m³]</v>
      </c>
      <c r="DC47" s="64" t="str">
        <f t="shared" si="29"/>
        <v>[Euro]</v>
      </c>
      <c r="DD47" s="146"/>
      <c r="DE47" s="142"/>
      <c r="DF47" s="142"/>
      <c r="DG47" s="142"/>
      <c r="DH47" s="142"/>
      <c r="DI47" s="142"/>
      <c r="DJ47" s="160"/>
      <c r="DK47" s="153"/>
      <c r="DL47" s="153"/>
      <c r="DM47" s="153"/>
      <c r="DN47" s="154"/>
      <c r="DO47" s="154"/>
      <c r="DP47" s="154"/>
      <c r="DQ47" s="31"/>
      <c r="DR47" s="146"/>
      <c r="DS47" s="146"/>
      <c r="DT47" s="60"/>
      <c r="DU47" s="146"/>
      <c r="DV47" s="146"/>
      <c r="DW47" s="146"/>
      <c r="DX47" s="89" t="str">
        <f t="shared" ref="DX47:EE47" si="30">U47</f>
        <v>[kWh/unit]</v>
      </c>
      <c r="DY47" s="89" t="str">
        <f t="shared" si="30"/>
        <v>[kg CO2 eq/unit]</v>
      </c>
      <c r="DZ47" s="89" t="str">
        <f t="shared" si="30"/>
        <v>[MJ/unit]</v>
      </c>
      <c r="EA47" s="89" t="str">
        <f t="shared" si="30"/>
        <v>[m³ eq/unit]</v>
      </c>
      <c r="EB47" s="89" t="str">
        <f t="shared" si="30"/>
        <v>[kg CO2 eq.]</v>
      </c>
      <c r="EC47" s="89" t="str">
        <f t="shared" si="30"/>
        <v>[MJ]</v>
      </c>
      <c r="ED47" s="89" t="str">
        <f t="shared" si="30"/>
        <v>[m³]</v>
      </c>
      <c r="EE47" s="89" t="str">
        <f t="shared" si="30"/>
        <v>[Euro]</v>
      </c>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row>
    <row r="48" spans="1:159" ht="15" customHeight="1">
      <c r="A48" s="142"/>
      <c r="B48" s="15"/>
      <c r="C48" s="15"/>
      <c r="D48" s="15"/>
      <c r="E48" s="15"/>
      <c r="F48" s="15"/>
      <c r="G48" s="15"/>
      <c r="H48" s="15"/>
      <c r="I48" s="15"/>
      <c r="J48" s="15"/>
      <c r="K48" s="15"/>
      <c r="L48" s="15"/>
      <c r="M48" s="301"/>
      <c r="N48" s="15"/>
      <c r="O48" s="142"/>
      <c r="P48" s="143" t="str">
        <f>VLOOKUP("Hidden_Calculation_Electricity",Hidden_Translations!$B$11:$J$1184,Hidden_Translations!$C$8,FALSE)</f>
        <v>Electricity</v>
      </c>
      <c r="Q48" s="190" t="str">
        <f>C55</f>
        <v>Electricity mix Europe</v>
      </c>
      <c r="R48" s="326">
        <f>+Input!F100</f>
        <v>0</v>
      </c>
      <c r="S48" s="90" t="str">
        <f>Input!G100</f>
        <v>[kWh]</v>
      </c>
      <c r="T48" s="90"/>
      <c r="U48" s="90"/>
      <c r="V48" s="320">
        <f>VLOOKUP($Q48,Hidden_Database!$C$11:$I$75,4,FALSE)</f>
        <v>0.41899999999999998</v>
      </c>
      <c r="W48" s="320">
        <f>VLOOKUP($Q48,Hidden_Database!$C$11:$I$75,5,FALSE)</f>
        <v>10.303421</v>
      </c>
      <c r="X48" s="321">
        <f>VLOOKUP($Q48,Hidden_Database!$C$11:$I$75,6,FALSE)</f>
        <v>0.129</v>
      </c>
      <c r="Y48" s="348" t="e">
        <f t="shared" ref="Y48:AA50" si="31">($R48*V48*($Q$14/(365*24))*($Q$16))</f>
        <v>#DIV/0!</v>
      </c>
      <c r="Z48" s="348" t="e">
        <f t="shared" si="31"/>
        <v>#DIV/0!</v>
      </c>
      <c r="AA48" s="348" t="e">
        <f t="shared" si="31"/>
        <v>#DIV/0!</v>
      </c>
      <c r="AB48" s="345" t="e">
        <f>Hidden_Database!J56*R48*($Q$14/(365*24))*$Q$16</f>
        <v>#DIV/0!</v>
      </c>
      <c r="AC48" s="93"/>
      <c r="AD48" s="137"/>
      <c r="AE48" s="137"/>
      <c r="AF48" s="137"/>
      <c r="AG48" s="137"/>
      <c r="AH48" s="137"/>
      <c r="AI48" s="137"/>
      <c r="AJ48" s="137"/>
      <c r="AK48" s="137"/>
      <c r="AL48" s="137"/>
      <c r="AM48" s="137"/>
      <c r="AN48" s="137"/>
      <c r="AO48" s="137"/>
      <c r="AP48" s="137"/>
      <c r="AQ48" s="146"/>
      <c r="AR48" s="143" t="str">
        <f>P48</f>
        <v>Electricity</v>
      </c>
      <c r="AS48" s="190" t="str">
        <f>C55</f>
        <v>Electricity mix Europe</v>
      </c>
      <c r="AT48" s="326">
        <f>+Input!F147</f>
        <v>0</v>
      </c>
      <c r="AU48" s="143" t="str">
        <f>Input!G147</f>
        <v>[kWh]</v>
      </c>
      <c r="AV48" s="143"/>
      <c r="AW48" s="143"/>
      <c r="AX48" s="320">
        <f>VLOOKUP($AS48,Hidden_Database!$C$11:$I$75,4,FALSE)</f>
        <v>0.41899999999999998</v>
      </c>
      <c r="AY48" s="320">
        <f>VLOOKUP($AS48,Hidden_Database!$C$11:$I$75,5,FALSE)</f>
        <v>10.303421</v>
      </c>
      <c r="AZ48" s="321">
        <f>VLOOKUP($AS48,Hidden_Database!$C$11:$I$75,6,FALSE)</f>
        <v>0.129</v>
      </c>
      <c r="BA48" s="348">
        <f t="shared" ref="BA48:BC50" si="32">$AT48*AX48*$AS$14/(365*24)*($AS$16)</f>
        <v>0</v>
      </c>
      <c r="BB48" s="348">
        <f t="shared" si="32"/>
        <v>0</v>
      </c>
      <c r="BC48" s="348">
        <f t="shared" si="32"/>
        <v>0</v>
      </c>
      <c r="BD48" s="111"/>
      <c r="BE48" s="51"/>
      <c r="BF48" s="51"/>
      <c r="BG48" s="51"/>
      <c r="BH48" s="51"/>
      <c r="BI48" s="51"/>
      <c r="BJ48" s="62"/>
      <c r="BK48" s="62"/>
      <c r="BL48" s="111"/>
      <c r="BM48" s="111"/>
      <c r="BN48" s="111"/>
      <c r="BO48" s="146"/>
      <c r="BP48" s="143" t="str">
        <f>P48</f>
        <v>Electricity</v>
      </c>
      <c r="BQ48" s="190" t="str">
        <f>C55</f>
        <v>Electricity mix Europe</v>
      </c>
      <c r="BR48" s="326">
        <f>+Input!F175</f>
        <v>0</v>
      </c>
      <c r="BS48" s="143" t="str">
        <f>S48</f>
        <v>[kWh]</v>
      </c>
      <c r="BT48" s="143"/>
      <c r="BU48" s="143"/>
      <c r="BV48" s="320">
        <f>VLOOKUP($BQ48,Hidden_Database!$C$11:$I$75,4,FALSE)</f>
        <v>0.41899999999999998</v>
      </c>
      <c r="BW48" s="320">
        <f>VLOOKUP($BQ48,Hidden_Database!$C$11:$I$75,5,FALSE)</f>
        <v>10.303421</v>
      </c>
      <c r="BX48" s="321">
        <f>VLOOKUP($BQ48,Hidden_Database!$C$11:$I$75,6,FALSE)</f>
        <v>0.129</v>
      </c>
      <c r="BY48" s="348">
        <f t="shared" ref="BY48:CA50" si="33">$BR48*BV48*$BQ$14/(365*24)*($BQ$16)</f>
        <v>0</v>
      </c>
      <c r="BZ48" s="348">
        <f t="shared" si="33"/>
        <v>0</v>
      </c>
      <c r="CA48" s="348">
        <f t="shared" si="33"/>
        <v>0</v>
      </c>
      <c r="CB48" s="142"/>
      <c r="CC48" s="146"/>
      <c r="CD48" s="146"/>
      <c r="CE48" s="146"/>
      <c r="CF48" s="146"/>
      <c r="CG48" s="146"/>
      <c r="CH48" s="146"/>
      <c r="CI48" s="146"/>
      <c r="CJ48" s="146"/>
      <c r="CK48" s="146"/>
      <c r="CL48" s="146"/>
      <c r="CM48" s="146"/>
      <c r="CN48" s="146"/>
      <c r="CO48" s="146"/>
      <c r="CP48" s="146"/>
      <c r="CQ48" s="143" t="str">
        <f>P48</f>
        <v>Electricity</v>
      </c>
      <c r="CR48" s="190" t="str">
        <f>C55</f>
        <v>Electricity mix Europe</v>
      </c>
      <c r="CS48" s="326">
        <f>+Input!F215</f>
        <v>0</v>
      </c>
      <c r="CT48" s="288" t="str">
        <f>Input!G215</f>
        <v>[kWh]</v>
      </c>
      <c r="CU48" s="190"/>
      <c r="CV48" s="190"/>
      <c r="CW48" s="320">
        <f>VLOOKUP($CR48,Hidden_Database!$C$11:$I$75,4,FALSE)</f>
        <v>0.41899999999999998</v>
      </c>
      <c r="CX48" s="320">
        <f>VLOOKUP($CR48,Hidden_Database!$C$11:$I$75,5,FALSE)</f>
        <v>10.303421</v>
      </c>
      <c r="CY48" s="321">
        <f>VLOOKUP($CR48,Hidden_Database!$C$11:$I$75,6,FALSE)</f>
        <v>0.129</v>
      </c>
      <c r="CZ48" s="348">
        <f t="shared" ref="CZ48:DB50" si="34">$CS48*CW48*$CR$14/(365*24)*($CR$16)</f>
        <v>0</v>
      </c>
      <c r="DA48" s="348">
        <f t="shared" si="34"/>
        <v>0</v>
      </c>
      <c r="DB48" s="348">
        <f t="shared" si="34"/>
        <v>0</v>
      </c>
      <c r="DC48" s="345">
        <f>Hidden_Database!J56*CS48*($CR$14/(365*24))*$CR$16</f>
        <v>0</v>
      </c>
      <c r="DD48" s="146"/>
      <c r="DE48" s="142"/>
      <c r="DF48" s="142"/>
      <c r="DG48" s="142"/>
      <c r="DH48" s="142"/>
      <c r="DI48" s="142"/>
      <c r="DJ48" s="160"/>
      <c r="DK48" s="153"/>
      <c r="DL48" s="153"/>
      <c r="DM48" s="153"/>
      <c r="DN48" s="154"/>
      <c r="DO48" s="154"/>
      <c r="DP48" s="154"/>
      <c r="DQ48" s="31"/>
      <c r="DR48" s="146"/>
      <c r="DS48" s="143" t="str">
        <f>P48</f>
        <v>Electricity</v>
      </c>
      <c r="DT48" s="190" t="str">
        <f>C55</f>
        <v>Electricity mix Europe</v>
      </c>
      <c r="DU48" s="326">
        <f>+Input!F263</f>
        <v>0</v>
      </c>
      <c r="DV48" s="143" t="str">
        <f>Input!G263</f>
        <v>[kWh]</v>
      </c>
      <c r="DW48" s="143"/>
      <c r="DX48" s="143"/>
      <c r="DY48" s="320">
        <f>VLOOKUP($DT48,Hidden_Database!$C$11:$I$75,4,FALSE)</f>
        <v>0.41899999999999998</v>
      </c>
      <c r="DZ48" s="320">
        <f>VLOOKUP($DT48,Hidden_Database!$C$11:$I$75,5,FALSE)</f>
        <v>10.303421</v>
      </c>
      <c r="EA48" s="321">
        <f>VLOOKUP($DT48,Hidden_Database!$C$11:$I$75,6,FALSE)</f>
        <v>0.129</v>
      </c>
      <c r="EB48" s="348">
        <f t="shared" ref="EB48:ED50" si="35">$DU48*DY48*$DT$14/(365*24)*($DT$16)</f>
        <v>0</v>
      </c>
      <c r="EC48" s="348">
        <f t="shared" si="35"/>
        <v>0</v>
      </c>
      <c r="ED48" s="348">
        <f t="shared" si="35"/>
        <v>0</v>
      </c>
      <c r="EE48" s="345">
        <f>Hidden_Database!J56*DU48*($DT$14/(365*24))*$DT$16</f>
        <v>0</v>
      </c>
      <c r="EF48" s="146"/>
      <c r="EG48" s="146"/>
      <c r="EH48" s="146"/>
      <c r="EI48" s="146"/>
      <c r="EJ48" s="146"/>
      <c r="EK48" s="146"/>
      <c r="EL48" s="146"/>
      <c r="EM48" s="146"/>
      <c r="EN48" s="146"/>
      <c r="EO48" s="146"/>
      <c r="EP48" s="146"/>
      <c r="EQ48" s="146"/>
      <c r="ER48" s="146"/>
      <c r="ES48" s="146"/>
      <c r="ET48" s="146"/>
      <c r="EU48" s="146"/>
      <c r="EV48" s="146"/>
      <c r="EW48" s="146"/>
      <c r="EX48" s="146"/>
      <c r="EY48" s="146"/>
      <c r="EZ48" s="146"/>
      <c r="FA48" s="146"/>
      <c r="FB48" s="146"/>
      <c r="FC48" s="146"/>
    </row>
    <row r="49" spans="1:159" ht="15" customHeight="1">
      <c r="A49" s="142"/>
      <c r="B49" s="15"/>
      <c r="C49" s="15"/>
      <c r="D49" s="15"/>
      <c r="E49" s="15"/>
      <c r="F49" s="15"/>
      <c r="G49" s="15"/>
      <c r="H49" s="15"/>
      <c r="I49" s="15"/>
      <c r="J49" s="15"/>
      <c r="K49" s="15"/>
      <c r="L49" s="15"/>
      <c r="M49" s="15"/>
      <c r="N49" s="15"/>
      <c r="O49" s="142"/>
      <c r="P49" s="143" t="str">
        <f>VLOOKUP("Hidden_Calculation_Other_Source",Hidden_Translations!$B$11:$J$1184,Hidden_Translations!$C$8,FALSE) &amp; " 1"</f>
        <v>Other energy source 1</v>
      </c>
      <c r="Q49" s="317">
        <f>+Input!B101</f>
        <v>0</v>
      </c>
      <c r="R49" s="326">
        <f>+Input!F101</f>
        <v>0</v>
      </c>
      <c r="S49" s="90" t="str">
        <f>Input!G101</f>
        <v>[kg]</v>
      </c>
      <c r="T49" s="90"/>
      <c r="U49" s="326">
        <f>VLOOKUP(Q49,Hidden_Database!$C$11:$I$75,7,FALSE)</f>
        <v>0</v>
      </c>
      <c r="V49" s="320">
        <f>VLOOKUP($Q49,Hidden_Database!$C$11:$I$75,4,FALSE)</f>
        <v>0</v>
      </c>
      <c r="W49" s="320">
        <f>VLOOKUP($Q49,Hidden_Database!$C$11:$I$75,5,FALSE)</f>
        <v>0</v>
      </c>
      <c r="X49" s="321">
        <f>VLOOKUP($Q49,Hidden_Database!$C$11:$I$75,6,FALSE)</f>
        <v>0</v>
      </c>
      <c r="Y49" s="348" t="e">
        <f t="shared" si="31"/>
        <v>#DIV/0!</v>
      </c>
      <c r="Z49" s="348" t="e">
        <f t="shared" si="31"/>
        <v>#DIV/0!</v>
      </c>
      <c r="AA49" s="348" t="e">
        <f t="shared" si="31"/>
        <v>#DIV/0!</v>
      </c>
      <c r="AB49" s="345" t="e">
        <f>VLOOKUP(Q49,Hidden_Database!$C$11:$J$75,8,FALSE)*R49*($Q$14/(365*24))*$Q$16</f>
        <v>#DIV/0!</v>
      </c>
      <c r="AC49" s="93"/>
      <c r="AD49" s="137"/>
      <c r="AE49" s="137"/>
      <c r="AF49" s="137"/>
      <c r="AG49" s="137"/>
      <c r="AH49" s="137"/>
      <c r="AI49" s="137"/>
      <c r="AJ49" s="137"/>
      <c r="AK49" s="137"/>
      <c r="AL49" s="137"/>
      <c r="AM49" s="137"/>
      <c r="AN49" s="137"/>
      <c r="AO49" s="137"/>
      <c r="AP49" s="137"/>
      <c r="AQ49" s="146"/>
      <c r="AR49" s="143" t="str">
        <f>P49</f>
        <v>Other energy source 1</v>
      </c>
      <c r="AS49" s="315">
        <f>+Input!B148</f>
        <v>0</v>
      </c>
      <c r="AT49" s="326">
        <f>+Input!F148</f>
        <v>0</v>
      </c>
      <c r="AU49" s="143" t="str">
        <f>Input!G148</f>
        <v>[kg]</v>
      </c>
      <c r="AV49" s="143"/>
      <c r="AW49" s="326">
        <f>VLOOKUP(AS49,Hidden_Database!$C$11:$I$75,7,FALSE)</f>
        <v>0</v>
      </c>
      <c r="AX49" s="320">
        <f>VLOOKUP($AS49,Hidden_Database!$C$11:$I$75,4,FALSE)</f>
        <v>0</v>
      </c>
      <c r="AY49" s="320">
        <f>VLOOKUP($AS49,Hidden_Database!$C$11:$I$75,5,FALSE)</f>
        <v>0</v>
      </c>
      <c r="AZ49" s="321">
        <f>VLOOKUP($AS49,Hidden_Database!$C$11:$I$75,6,FALSE)</f>
        <v>0</v>
      </c>
      <c r="BA49" s="348">
        <f t="shared" si="32"/>
        <v>0</v>
      </c>
      <c r="BB49" s="348">
        <f t="shared" si="32"/>
        <v>0</v>
      </c>
      <c r="BC49" s="348">
        <f t="shared" si="32"/>
        <v>0</v>
      </c>
      <c r="BD49" s="111"/>
      <c r="BE49" s="51"/>
      <c r="BF49" s="51"/>
      <c r="BG49" s="51"/>
      <c r="BH49" s="51"/>
      <c r="BI49" s="51"/>
      <c r="BJ49" s="62"/>
      <c r="BK49" s="62"/>
      <c r="BL49" s="111"/>
      <c r="BM49" s="111"/>
      <c r="BN49" s="111"/>
      <c r="BO49" s="146"/>
      <c r="BP49" s="143" t="str">
        <f>P49</f>
        <v>Other energy source 1</v>
      </c>
      <c r="BQ49" s="315">
        <f>+Input!B176</f>
        <v>0</v>
      </c>
      <c r="BR49" s="326">
        <f>+Input!F148</f>
        <v>0</v>
      </c>
      <c r="BS49" s="143" t="str">
        <f>VLOOKUP($BQ49,Hidden_Database!$C$11:$I$75,3,FALSE)</f>
        <v>[kg]</v>
      </c>
      <c r="BT49" s="143"/>
      <c r="BU49" s="326">
        <f>VLOOKUP(BQ49,Hidden_Database!$C$11:$I$75,7,FALSE)</f>
        <v>0</v>
      </c>
      <c r="BV49" s="320">
        <f>VLOOKUP($BQ49,Hidden_Database!$C$11:$I$75,4,FALSE)</f>
        <v>0</v>
      </c>
      <c r="BW49" s="320">
        <f>VLOOKUP($BQ49,Hidden_Database!$C$11:$I$75,5,FALSE)</f>
        <v>0</v>
      </c>
      <c r="BX49" s="321">
        <f>VLOOKUP($BQ49,Hidden_Database!$C$11:$I$75,6,FALSE)</f>
        <v>0</v>
      </c>
      <c r="BY49" s="348">
        <f t="shared" si="33"/>
        <v>0</v>
      </c>
      <c r="BZ49" s="348">
        <f t="shared" si="33"/>
        <v>0</v>
      </c>
      <c r="CA49" s="348">
        <f t="shared" si="33"/>
        <v>0</v>
      </c>
      <c r="CB49" s="142"/>
      <c r="CC49" s="146"/>
      <c r="CD49" s="146"/>
      <c r="CE49" s="146"/>
      <c r="CF49" s="146"/>
      <c r="CG49" s="146"/>
      <c r="CH49" s="146"/>
      <c r="CI49" s="146"/>
      <c r="CJ49" s="146"/>
      <c r="CK49" s="146"/>
      <c r="CL49" s="146"/>
      <c r="CM49" s="146"/>
      <c r="CN49" s="146"/>
      <c r="CO49" s="146"/>
      <c r="CP49" s="146"/>
      <c r="CQ49" s="143" t="str">
        <f>P49</f>
        <v>Other energy source 1</v>
      </c>
      <c r="CR49" s="315">
        <f>+Input!B216</f>
        <v>0</v>
      </c>
      <c r="CS49" s="326">
        <f>+Input!F216</f>
        <v>0</v>
      </c>
      <c r="CT49" s="288" t="str">
        <f>Input!G216</f>
        <v>[kg]</v>
      </c>
      <c r="CU49" s="190"/>
      <c r="CV49" s="326">
        <f>VLOOKUP(CR49,Hidden_Database!$C$11:$I$75,7,FALSE)</f>
        <v>0</v>
      </c>
      <c r="CW49" s="320">
        <f>VLOOKUP($CR49,Hidden_Database!$C$11:$I$75,4,FALSE)</f>
        <v>0</v>
      </c>
      <c r="CX49" s="320">
        <f>VLOOKUP($CR49,Hidden_Database!$C$11:$I$75,5,FALSE)</f>
        <v>0</v>
      </c>
      <c r="CY49" s="321">
        <f>VLOOKUP($CR49,Hidden_Database!$C$11:$I$75,6,FALSE)</f>
        <v>0</v>
      </c>
      <c r="CZ49" s="348">
        <f t="shared" si="34"/>
        <v>0</v>
      </c>
      <c r="DA49" s="348">
        <f t="shared" si="34"/>
        <v>0</v>
      </c>
      <c r="DB49" s="348">
        <f t="shared" si="34"/>
        <v>0</v>
      </c>
      <c r="DC49" s="345">
        <f>VLOOKUP(CR49,Hidden_Database!$C$11:$J$75,8,FALSE)*CS49*($CR$14/(365*24))*$CR$16</f>
        <v>0</v>
      </c>
      <c r="DD49" s="146"/>
      <c r="DE49" s="142"/>
      <c r="DF49" s="142"/>
      <c r="DG49" s="142"/>
      <c r="DH49" s="142"/>
      <c r="DI49" s="142"/>
      <c r="DJ49" s="160"/>
      <c r="DK49" s="153"/>
      <c r="DL49" s="153"/>
      <c r="DM49" s="153"/>
      <c r="DN49" s="154"/>
      <c r="DO49" s="154"/>
      <c r="DP49" s="154"/>
      <c r="DQ49" s="31"/>
      <c r="DR49" s="146"/>
      <c r="DS49" s="143" t="str">
        <f>CQ49</f>
        <v>Other energy source 1</v>
      </c>
      <c r="DT49" s="315">
        <f>+Input!B264</f>
        <v>0</v>
      </c>
      <c r="DU49" s="326">
        <v>150</v>
      </c>
      <c r="DV49" s="143" t="str">
        <f>Input!G264</f>
        <v>[kg]</v>
      </c>
      <c r="DW49" s="143"/>
      <c r="DX49" s="326">
        <f>VLOOKUP(DT49,Hidden_Database!$C$11:$I$75,7,FALSE)</f>
        <v>0</v>
      </c>
      <c r="DY49" s="320">
        <f>VLOOKUP($DT49,Hidden_Database!$C$11:$I$75,4,FALSE)</f>
        <v>0</v>
      </c>
      <c r="DZ49" s="320">
        <f>VLOOKUP($DT49,Hidden_Database!$C$11:$I$75,5,FALSE)</f>
        <v>0</v>
      </c>
      <c r="EA49" s="321">
        <f>VLOOKUP($DT49,Hidden_Database!$C$11:$I$75,6,FALSE)</f>
        <v>0</v>
      </c>
      <c r="EB49" s="348">
        <f t="shared" si="35"/>
        <v>0</v>
      </c>
      <c r="EC49" s="348">
        <f t="shared" si="35"/>
        <v>0</v>
      </c>
      <c r="ED49" s="348">
        <f t="shared" si="35"/>
        <v>0</v>
      </c>
      <c r="EE49" s="345">
        <f>VLOOKUP(DT49,Hidden_Database!$C$11:$J$75,8,FALSE)*DU49*($DT$14/(365*24))*$DT$16</f>
        <v>0</v>
      </c>
      <c r="EF49" s="146"/>
      <c r="EG49" s="146"/>
      <c r="EH49" s="146"/>
      <c r="EI49" s="146"/>
      <c r="EJ49" s="146"/>
      <c r="EK49" s="146"/>
      <c r="EL49" s="146"/>
      <c r="EM49" s="146"/>
      <c r="EN49" s="146"/>
      <c r="EO49" s="146"/>
      <c r="EP49" s="146"/>
      <c r="EQ49" s="146"/>
      <c r="ER49" s="146"/>
      <c r="ES49" s="146"/>
      <c r="ET49" s="146"/>
      <c r="EU49" s="146"/>
      <c r="EV49" s="146"/>
      <c r="EW49" s="146"/>
      <c r="EX49" s="146"/>
      <c r="EY49" s="146"/>
      <c r="EZ49" s="146"/>
      <c r="FA49" s="146"/>
      <c r="FB49" s="146"/>
      <c r="FC49" s="146"/>
    </row>
    <row r="50" spans="1:159" ht="15" customHeight="1">
      <c r="A50" s="142"/>
      <c r="B50" s="15"/>
      <c r="C50" s="15"/>
      <c r="D50" s="15"/>
      <c r="E50" s="15"/>
      <c r="F50" s="15"/>
      <c r="G50" s="15"/>
      <c r="H50" s="15"/>
      <c r="I50" s="15"/>
      <c r="J50" s="15"/>
      <c r="K50" s="15"/>
      <c r="L50" s="15"/>
      <c r="M50" s="15"/>
      <c r="N50" s="15"/>
      <c r="O50" s="142"/>
      <c r="P50" s="143" t="str">
        <f>VLOOKUP("Hidden_Calculation_Other_Source",Hidden_Translations!$B$11:$J$1184,Hidden_Translations!$C$8,FALSE) &amp; " 2"</f>
        <v>Other energy source 2</v>
      </c>
      <c r="Q50" s="317">
        <f>+Input!B102</f>
        <v>0</v>
      </c>
      <c r="R50" s="326">
        <f>+Input!F102</f>
        <v>0</v>
      </c>
      <c r="S50" s="90" t="str">
        <f>Input!G102</f>
        <v>[kg]</v>
      </c>
      <c r="T50" s="90"/>
      <c r="U50" s="326">
        <f>VLOOKUP(Q50,Hidden_Database!$C$11:$I$75,7,FALSE)</f>
        <v>0</v>
      </c>
      <c r="V50" s="320">
        <f>VLOOKUP($Q50,Hidden_Database!$C$11:$I$75,4,FALSE)</f>
        <v>0</v>
      </c>
      <c r="W50" s="320">
        <f>VLOOKUP($Q50,Hidden_Database!$C$11:$I$75,5,FALSE)</f>
        <v>0</v>
      </c>
      <c r="X50" s="321">
        <f>VLOOKUP($Q50,Hidden_Database!$C$11:$I$75,6,FALSE)</f>
        <v>0</v>
      </c>
      <c r="Y50" s="348" t="e">
        <f t="shared" si="31"/>
        <v>#DIV/0!</v>
      </c>
      <c r="Z50" s="348" t="e">
        <f t="shared" si="31"/>
        <v>#DIV/0!</v>
      </c>
      <c r="AA50" s="348" t="e">
        <f t="shared" si="31"/>
        <v>#DIV/0!</v>
      </c>
      <c r="AB50" s="345" t="e">
        <f>VLOOKUP(Q50,Hidden_Database!$C$11:$J$75,8,FALSE)*R50*($Q$14/(365*24))*$Q$16</f>
        <v>#DIV/0!</v>
      </c>
      <c r="AC50" s="93"/>
      <c r="AD50" s="137"/>
      <c r="AE50" s="137"/>
      <c r="AF50" s="137"/>
      <c r="AG50" s="137"/>
      <c r="AH50" s="137"/>
      <c r="AI50" s="137"/>
      <c r="AJ50" s="137"/>
      <c r="AK50" s="137"/>
      <c r="AL50" s="137"/>
      <c r="AM50" s="137"/>
      <c r="AN50" s="137"/>
      <c r="AO50" s="137"/>
      <c r="AP50" s="137"/>
      <c r="AQ50" s="146"/>
      <c r="AR50" s="143" t="str">
        <f>P50</f>
        <v>Other energy source 2</v>
      </c>
      <c r="AS50" s="315">
        <f>+Input!B149</f>
        <v>0</v>
      </c>
      <c r="AT50" s="326">
        <f>+Input!F149</f>
        <v>0</v>
      </c>
      <c r="AU50" s="143" t="str">
        <f>Input!G149</f>
        <v>[kg]</v>
      </c>
      <c r="AV50" s="143"/>
      <c r="AW50" s="326">
        <f>VLOOKUP(AS50,Hidden_Database!$C$11:$I$75,7,FALSE)</f>
        <v>0</v>
      </c>
      <c r="AX50" s="320">
        <f>VLOOKUP($AS50,Hidden_Database!$C$11:$I$75,4,FALSE)</f>
        <v>0</v>
      </c>
      <c r="AY50" s="320">
        <f>VLOOKUP($AS50,Hidden_Database!$C$11:$I$75,5,FALSE)</f>
        <v>0</v>
      </c>
      <c r="AZ50" s="321">
        <f>VLOOKUP($AS50,Hidden_Database!$C$11:$I$75,6,FALSE)</f>
        <v>0</v>
      </c>
      <c r="BA50" s="348">
        <f t="shared" si="32"/>
        <v>0</v>
      </c>
      <c r="BB50" s="348">
        <f t="shared" si="32"/>
        <v>0</v>
      </c>
      <c r="BC50" s="348">
        <f t="shared" si="32"/>
        <v>0</v>
      </c>
      <c r="BD50" s="111"/>
      <c r="BE50" s="51"/>
      <c r="BF50" s="51"/>
      <c r="BG50" s="51"/>
      <c r="BH50" s="51"/>
      <c r="BI50" s="51"/>
      <c r="BJ50" s="62"/>
      <c r="BK50" s="62"/>
      <c r="BL50" s="111"/>
      <c r="BM50" s="111"/>
      <c r="BN50" s="111"/>
      <c r="BO50" s="146"/>
      <c r="BP50" s="143" t="str">
        <f>P50</f>
        <v>Other energy source 2</v>
      </c>
      <c r="BQ50" s="315">
        <f>+Input!B177</f>
        <v>0</v>
      </c>
      <c r="BR50" s="326">
        <f>+Input!F149</f>
        <v>0</v>
      </c>
      <c r="BS50" s="143" t="str">
        <f>VLOOKUP($BQ50,Hidden_Database!$C$11:$I$75,3,FALSE)</f>
        <v>[kg]</v>
      </c>
      <c r="BT50" s="143"/>
      <c r="BU50" s="326">
        <f>VLOOKUP(BQ50,Hidden_Database!$C$11:$I$75,7,FALSE)</f>
        <v>0</v>
      </c>
      <c r="BV50" s="320">
        <f>VLOOKUP($BQ50,Hidden_Database!$C$11:$I$75,4,FALSE)</f>
        <v>0</v>
      </c>
      <c r="BW50" s="320">
        <f>VLOOKUP($BQ50,Hidden_Database!$C$11:$I$75,5,FALSE)</f>
        <v>0</v>
      </c>
      <c r="BX50" s="321">
        <f>VLOOKUP($BQ50,Hidden_Database!$C$11:$I$75,6,FALSE)</f>
        <v>0</v>
      </c>
      <c r="BY50" s="348">
        <f t="shared" si="33"/>
        <v>0</v>
      </c>
      <c r="BZ50" s="348">
        <f t="shared" si="33"/>
        <v>0</v>
      </c>
      <c r="CA50" s="348">
        <f t="shared" si="33"/>
        <v>0</v>
      </c>
      <c r="CB50" s="142"/>
      <c r="CC50" s="146"/>
      <c r="CD50" s="146"/>
      <c r="CE50" s="146"/>
      <c r="CF50" s="146"/>
      <c r="CG50" s="146"/>
      <c r="CH50" s="146"/>
      <c r="CI50" s="146"/>
      <c r="CJ50" s="146"/>
      <c r="CK50" s="146"/>
      <c r="CL50" s="146"/>
      <c r="CM50" s="146"/>
      <c r="CN50" s="146"/>
      <c r="CO50" s="146"/>
      <c r="CP50" s="146"/>
      <c r="CQ50" s="143" t="str">
        <f>P50</f>
        <v>Other energy source 2</v>
      </c>
      <c r="CR50" s="315">
        <f>+Input!B217</f>
        <v>0</v>
      </c>
      <c r="CS50" s="326">
        <f>+Input!F217</f>
        <v>0</v>
      </c>
      <c r="CT50" s="288" t="str">
        <f>Input!G217</f>
        <v>[kg]</v>
      </c>
      <c r="CU50" s="190"/>
      <c r="CV50" s="326">
        <f>VLOOKUP(CR50,Hidden_Database!$C$11:$I$75,7,FALSE)</f>
        <v>0</v>
      </c>
      <c r="CW50" s="320">
        <f>VLOOKUP($CR50,Hidden_Database!$C$11:$I$75,4,FALSE)</f>
        <v>0</v>
      </c>
      <c r="CX50" s="320">
        <f>VLOOKUP($CR50,Hidden_Database!$C$11:$I$75,5,FALSE)</f>
        <v>0</v>
      </c>
      <c r="CY50" s="321">
        <f>VLOOKUP($CR50,Hidden_Database!$C$11:$I$75,6,FALSE)</f>
        <v>0</v>
      </c>
      <c r="CZ50" s="348">
        <f t="shared" si="34"/>
        <v>0</v>
      </c>
      <c r="DA50" s="348">
        <f t="shared" si="34"/>
        <v>0</v>
      </c>
      <c r="DB50" s="348">
        <f t="shared" si="34"/>
        <v>0</v>
      </c>
      <c r="DC50" s="345">
        <f>VLOOKUP(CR50,Hidden_Database!$C$11:$J$75,8,FALSE)*CS50*($CR$14/(365*24))*$CR$16</f>
        <v>0</v>
      </c>
      <c r="DD50" s="146"/>
      <c r="DE50" s="142"/>
      <c r="DF50" s="142"/>
      <c r="DG50" s="142"/>
      <c r="DH50" s="142"/>
      <c r="DI50" s="142"/>
      <c r="DJ50" s="160"/>
      <c r="DK50" s="153"/>
      <c r="DL50" s="153"/>
      <c r="DM50" s="153"/>
      <c r="DN50" s="154"/>
      <c r="DO50" s="154"/>
      <c r="DP50" s="154"/>
      <c r="DQ50" s="31"/>
      <c r="DR50" s="146"/>
      <c r="DS50" s="143" t="str">
        <f>CQ50</f>
        <v>Other energy source 2</v>
      </c>
      <c r="DT50" s="315">
        <f>+Input!B265</f>
        <v>0</v>
      </c>
      <c r="DU50" s="326">
        <f>+Input!F265</f>
        <v>0</v>
      </c>
      <c r="DV50" s="143" t="str">
        <f>Input!G265</f>
        <v>[kg]</v>
      </c>
      <c r="DW50" s="143"/>
      <c r="DX50" s="326">
        <f>VLOOKUP(DT50,Hidden_Database!$C$11:$I$75,7,FALSE)</f>
        <v>0</v>
      </c>
      <c r="DY50" s="320">
        <f>VLOOKUP($DT50,Hidden_Database!$C$11:$I$75,4,FALSE)</f>
        <v>0</v>
      </c>
      <c r="DZ50" s="320">
        <f>VLOOKUP($DT50,Hidden_Database!$C$11:$I$75,5,FALSE)</f>
        <v>0</v>
      </c>
      <c r="EA50" s="321">
        <f>VLOOKUP($DT50,Hidden_Database!$C$11:$I$75,6,FALSE)</f>
        <v>0</v>
      </c>
      <c r="EB50" s="348">
        <f t="shared" si="35"/>
        <v>0</v>
      </c>
      <c r="EC50" s="348">
        <f t="shared" si="35"/>
        <v>0</v>
      </c>
      <c r="ED50" s="348">
        <f t="shared" si="35"/>
        <v>0</v>
      </c>
      <c r="EE50" s="345">
        <f>VLOOKUP(DT50,Hidden_Database!$C$11:$J$75,8,FALSE)*DU50*($DT$14/(365*24))*$DT$16</f>
        <v>0</v>
      </c>
      <c r="EF50" s="146"/>
      <c r="EG50" s="146"/>
      <c r="EH50" s="146"/>
      <c r="EI50" s="146"/>
      <c r="EJ50" s="146"/>
      <c r="EK50" s="146"/>
      <c r="EL50" s="146"/>
      <c r="EM50" s="146"/>
      <c r="EN50" s="146"/>
      <c r="EO50" s="146"/>
      <c r="EP50" s="146"/>
      <c r="EQ50" s="146"/>
      <c r="ER50" s="146"/>
      <c r="ES50" s="146"/>
      <c r="ET50" s="146"/>
      <c r="EU50" s="146"/>
      <c r="EV50" s="146"/>
      <c r="EW50" s="146"/>
      <c r="EX50" s="146"/>
      <c r="EY50" s="146"/>
      <c r="EZ50" s="146"/>
      <c r="FA50" s="146"/>
      <c r="FB50" s="146"/>
      <c r="FC50" s="146"/>
    </row>
    <row r="51" spans="1:159" ht="15" customHeight="1">
      <c r="A51" s="142"/>
      <c r="B51" s="15"/>
      <c r="C51" s="15"/>
      <c r="D51" s="15"/>
      <c r="E51" s="15"/>
      <c r="F51" s="15"/>
      <c r="G51" s="15"/>
      <c r="H51" s="15"/>
      <c r="I51" s="15"/>
      <c r="J51" s="15"/>
      <c r="K51" s="15"/>
      <c r="L51" s="15"/>
      <c r="M51" s="15"/>
      <c r="N51" s="15"/>
      <c r="O51" s="142"/>
      <c r="P51" s="137"/>
      <c r="Q51" s="100"/>
      <c r="R51" s="89"/>
      <c r="S51" s="137"/>
      <c r="T51" s="137"/>
      <c r="U51" s="160"/>
      <c r="V51" s="62"/>
      <c r="W51" s="62"/>
      <c r="X51" s="62"/>
      <c r="Y51" s="62"/>
      <c r="Z51" s="62"/>
      <c r="AA51" s="62"/>
      <c r="AB51" s="91"/>
      <c r="AC51" s="93"/>
      <c r="AD51" s="137"/>
      <c r="AE51" s="137"/>
      <c r="AF51" s="137"/>
      <c r="AG51" s="137"/>
      <c r="AH51" s="137"/>
      <c r="AI51" s="137"/>
      <c r="AJ51" s="137"/>
      <c r="AK51" s="137"/>
      <c r="AL51" s="137"/>
      <c r="AM51" s="137"/>
      <c r="AN51" s="137"/>
      <c r="AO51" s="137"/>
      <c r="AP51" s="137"/>
      <c r="AQ51" s="146"/>
      <c r="AR51" s="142"/>
      <c r="AS51" s="146"/>
      <c r="AT51" s="146"/>
      <c r="AU51" s="146"/>
      <c r="AV51" s="146"/>
      <c r="AW51" s="146"/>
      <c r="AX51" s="146"/>
      <c r="AY51" s="146"/>
      <c r="AZ51" s="146"/>
      <c r="BA51" s="146"/>
      <c r="BB51" s="146"/>
      <c r="BC51" s="146"/>
      <c r="BD51" s="111"/>
      <c r="BE51" s="51"/>
      <c r="BF51" s="51"/>
      <c r="BG51" s="51"/>
      <c r="BH51" s="51"/>
      <c r="BI51" s="51"/>
      <c r="BJ51" s="62"/>
      <c r="BK51" s="62"/>
      <c r="BL51" s="111"/>
      <c r="BM51" s="111"/>
      <c r="BN51" s="111"/>
      <c r="BO51" s="146"/>
      <c r="BP51" s="146"/>
      <c r="BQ51" s="146"/>
      <c r="BR51" s="146"/>
      <c r="BS51" s="146"/>
      <c r="BT51" s="146"/>
      <c r="BU51" s="146"/>
      <c r="BV51" s="146"/>
      <c r="BW51" s="146"/>
      <c r="BX51" s="146"/>
      <c r="BY51" s="146"/>
      <c r="BZ51" s="146"/>
      <c r="CA51" s="146"/>
      <c r="CB51" s="142"/>
      <c r="CC51" s="146"/>
      <c r="CD51" s="146"/>
      <c r="CE51" s="146"/>
      <c r="CF51" s="146"/>
      <c r="CG51" s="146"/>
      <c r="CH51" s="146"/>
      <c r="CI51" s="146"/>
      <c r="CJ51" s="146"/>
      <c r="CK51" s="146"/>
      <c r="CL51" s="146"/>
      <c r="CM51" s="146"/>
      <c r="CN51" s="146"/>
      <c r="CO51" s="146"/>
      <c r="CP51" s="146"/>
      <c r="CQ51" s="146"/>
      <c r="CR51" s="142"/>
      <c r="CS51" s="146"/>
      <c r="CT51" s="146"/>
      <c r="CU51" s="146"/>
      <c r="CV51" s="146"/>
      <c r="CW51" s="146"/>
      <c r="CX51" s="146"/>
      <c r="CY51" s="146"/>
      <c r="CZ51" s="146"/>
      <c r="DA51" s="146"/>
      <c r="DB51" s="146"/>
      <c r="DC51" s="146"/>
      <c r="DD51" s="146"/>
      <c r="DE51" s="142"/>
      <c r="DF51" s="142"/>
      <c r="DG51" s="142"/>
      <c r="DH51" s="142"/>
      <c r="DI51" s="142"/>
      <c r="DJ51" s="160"/>
      <c r="DK51" s="153"/>
      <c r="DL51" s="153"/>
      <c r="DM51" s="153"/>
      <c r="DN51" s="154"/>
      <c r="DO51" s="154"/>
      <c r="DP51" s="154"/>
      <c r="DQ51" s="31"/>
      <c r="DR51" s="146"/>
      <c r="DS51" s="146"/>
      <c r="DT51" s="146"/>
      <c r="DU51" s="146"/>
      <c r="DV51" s="146"/>
      <c r="DW51" s="146"/>
      <c r="DX51" s="146"/>
      <c r="DY51" s="146"/>
      <c r="DZ51" s="146"/>
      <c r="EA51" s="146"/>
      <c r="EB51" s="146"/>
      <c r="EC51" s="146"/>
      <c r="ED51" s="146"/>
      <c r="EE51" s="146"/>
      <c r="EF51" s="146"/>
      <c r="EG51" s="146"/>
      <c r="EH51" s="146"/>
      <c r="EI51" s="146"/>
      <c r="EJ51" s="146"/>
      <c r="EK51" s="146"/>
      <c r="EL51" s="146"/>
      <c r="EM51" s="146"/>
      <c r="EN51" s="146"/>
      <c r="EO51" s="146"/>
      <c r="EP51" s="146"/>
      <c r="EQ51" s="146"/>
      <c r="ER51" s="146"/>
      <c r="ES51" s="146"/>
      <c r="ET51" s="146"/>
      <c r="EU51" s="146"/>
      <c r="EV51" s="146"/>
      <c r="EW51" s="146"/>
      <c r="EX51" s="146"/>
      <c r="EY51" s="146"/>
      <c r="EZ51" s="146"/>
      <c r="FA51" s="146"/>
      <c r="FB51" s="146"/>
      <c r="FC51" s="146"/>
    </row>
    <row r="52" spans="1:159" ht="15" customHeight="1">
      <c r="A52" s="142"/>
      <c r="B52" s="69" t="str">
        <f>VLOOKUP("Hidden_Calculation_Header_6_LCA_Transport",Hidden_Translations!$B$11:$J$1184,Hidden_Translations!$C$8,FALSE)</f>
        <v>#6: LCA: Transport refrigeration (electricity and fuel only for refrigeration)</v>
      </c>
      <c r="C52" s="70"/>
      <c r="D52" s="70"/>
      <c r="E52" s="70"/>
      <c r="F52" s="70"/>
      <c r="G52" s="70"/>
      <c r="H52" s="70"/>
      <c r="I52" s="70"/>
      <c r="J52" s="70"/>
      <c r="K52" s="70"/>
      <c r="L52" s="70"/>
      <c r="M52" s="70"/>
      <c r="N52" s="70"/>
      <c r="O52" s="142"/>
      <c r="P52" s="69" t="str">
        <f>B52</f>
        <v>#6: LCA: Transport refrigeration (electricity and fuel only for refrigeration)</v>
      </c>
      <c r="Q52" s="70"/>
      <c r="R52" s="70"/>
      <c r="S52" s="70"/>
      <c r="T52" s="70"/>
      <c r="U52" s="70"/>
      <c r="V52" s="70"/>
      <c r="W52" s="70"/>
      <c r="X52" s="70"/>
      <c r="Y52" s="70"/>
      <c r="Z52" s="70"/>
      <c r="AA52" s="70"/>
      <c r="AB52" s="70"/>
      <c r="AC52" s="93"/>
      <c r="AD52" s="69" t="str">
        <f>B52</f>
        <v>#6: LCA: Transport refrigeration (electricity and fuel only for refrigeration)</v>
      </c>
      <c r="AE52" s="70"/>
      <c r="AF52" s="180"/>
      <c r="AG52" s="180"/>
      <c r="AH52" s="180"/>
      <c r="AI52" s="180"/>
      <c r="AJ52" s="180"/>
      <c r="AK52" s="180"/>
      <c r="AL52" s="180"/>
      <c r="AM52" s="180"/>
      <c r="AN52" s="180"/>
      <c r="AO52" s="180"/>
      <c r="AP52" s="180"/>
      <c r="AQ52" s="146"/>
      <c r="AR52" s="69" t="str">
        <f>B52</f>
        <v>#6: LCA: Transport refrigeration (electricity and fuel only for refrigeration)</v>
      </c>
      <c r="AS52" s="180"/>
      <c r="AT52" s="180"/>
      <c r="AU52" s="180"/>
      <c r="AV52" s="180"/>
      <c r="AW52" s="180"/>
      <c r="AX52" s="180"/>
      <c r="AY52" s="180"/>
      <c r="AZ52" s="180"/>
      <c r="BA52" s="180"/>
      <c r="BB52" s="180"/>
      <c r="BC52" s="180"/>
      <c r="BD52" s="111"/>
      <c r="BE52" s="69" t="str">
        <f>B52</f>
        <v>#6: LCA: Transport refrigeration (electricity and fuel only for refrigeration)</v>
      </c>
      <c r="BF52" s="180"/>
      <c r="BG52" s="180"/>
      <c r="BH52" s="180"/>
      <c r="BI52" s="180"/>
      <c r="BJ52" s="180"/>
      <c r="BK52" s="180"/>
      <c r="BL52" s="180"/>
      <c r="BM52" s="180"/>
      <c r="BN52" s="180"/>
      <c r="BO52" s="146"/>
      <c r="BP52" s="69" t="str">
        <f>B52</f>
        <v>#6: LCA: Transport refrigeration (electricity and fuel only for refrigeration)</v>
      </c>
      <c r="BQ52" s="180"/>
      <c r="BR52" s="180"/>
      <c r="BS52" s="269"/>
      <c r="BT52" s="269"/>
      <c r="BU52" s="180"/>
      <c r="BV52" s="180"/>
      <c r="BW52" s="180"/>
      <c r="BX52" s="180"/>
      <c r="BY52" s="180"/>
      <c r="BZ52" s="180"/>
      <c r="CA52" s="180"/>
      <c r="CB52" s="142"/>
      <c r="CC52" s="69" t="str">
        <f>B52</f>
        <v>#6: LCA: Transport refrigeration (electricity and fuel only for refrigeration)</v>
      </c>
      <c r="CD52" s="180"/>
      <c r="CE52" s="180"/>
      <c r="CF52" s="180"/>
      <c r="CG52" s="180"/>
      <c r="CH52" s="180"/>
      <c r="CI52" s="180"/>
      <c r="CJ52" s="180"/>
      <c r="CK52" s="180"/>
      <c r="CL52" s="180"/>
      <c r="CM52" s="180"/>
      <c r="CN52" s="180"/>
      <c r="CO52" s="180"/>
      <c r="CP52" s="146"/>
      <c r="CQ52" s="172" t="str">
        <f>B52</f>
        <v>#6: LCA: Transport refrigeration (electricity and fuel only for refrigeration)</v>
      </c>
      <c r="CR52" s="173"/>
      <c r="CS52" s="173"/>
      <c r="CT52" s="173"/>
      <c r="CU52" s="173"/>
      <c r="CV52" s="173"/>
      <c r="CW52" s="173"/>
      <c r="CX52" s="173"/>
      <c r="CY52" s="173"/>
      <c r="CZ52" s="172"/>
      <c r="DA52" s="173"/>
      <c r="DB52" s="172"/>
      <c r="DC52" s="172"/>
      <c r="DD52" s="146"/>
      <c r="DE52" s="172" t="str">
        <f>B52</f>
        <v>#6: LCA: Transport refrigeration (electricity and fuel only for refrigeration)</v>
      </c>
      <c r="DF52" s="173"/>
      <c r="DG52" s="173"/>
      <c r="DH52" s="173"/>
      <c r="DI52" s="173"/>
      <c r="DJ52" s="173"/>
      <c r="DK52" s="173"/>
      <c r="DL52" s="173"/>
      <c r="DM52" s="172"/>
      <c r="DN52" s="173"/>
      <c r="DO52" s="172"/>
      <c r="DP52" s="172"/>
      <c r="DQ52" s="172"/>
      <c r="DR52" s="146"/>
      <c r="DS52" s="172" t="str">
        <f>P52</f>
        <v>#6: LCA: Transport refrigeration (electricity and fuel only for refrigeration)</v>
      </c>
      <c r="DT52" s="173"/>
      <c r="DU52" s="173"/>
      <c r="DV52" s="173"/>
      <c r="DW52" s="173"/>
      <c r="DX52" s="173"/>
      <c r="DY52" s="173"/>
      <c r="DZ52" s="173"/>
      <c r="EA52" s="173"/>
      <c r="EB52" s="172"/>
      <c r="EC52" s="173"/>
      <c r="ED52" s="172"/>
      <c r="EE52" s="172"/>
      <c r="EF52" s="146"/>
      <c r="EG52" s="146"/>
      <c r="EH52" s="146"/>
      <c r="EI52" s="146"/>
      <c r="EJ52" s="146"/>
      <c r="EK52" s="146"/>
      <c r="EL52" s="146"/>
      <c r="EM52" s="146"/>
      <c r="EN52" s="146"/>
      <c r="EO52" s="146"/>
      <c r="EP52" s="146"/>
      <c r="EQ52" s="146"/>
      <c r="ER52" s="146"/>
      <c r="ES52" s="146"/>
      <c r="ET52" s="146"/>
      <c r="EU52" s="146"/>
      <c r="EV52" s="146"/>
      <c r="EW52" s="146"/>
      <c r="EX52" s="146"/>
      <c r="EY52" s="146"/>
      <c r="EZ52" s="146"/>
      <c r="FA52" s="146"/>
      <c r="FB52" s="146"/>
      <c r="FC52" s="146"/>
    </row>
    <row r="53" spans="1:159" ht="15" customHeight="1">
      <c r="A53" s="142"/>
      <c r="B53" s="94"/>
      <c r="C53" s="304"/>
      <c r="D53" s="60"/>
      <c r="H53" s="122" t="str">
        <f t="shared" ref="H53:M53" si="36">H41</f>
        <v>GWP</v>
      </c>
      <c r="I53" s="122" t="str">
        <f t="shared" si="36"/>
        <v>CED</v>
      </c>
      <c r="J53" s="122" t="str">
        <f t="shared" si="36"/>
        <v>AWARE</v>
      </c>
      <c r="K53" s="122" t="str">
        <f t="shared" si="36"/>
        <v>GWP</v>
      </c>
      <c r="L53" s="122" t="str">
        <f t="shared" si="36"/>
        <v>CED</v>
      </c>
      <c r="M53" s="122" t="str">
        <f t="shared" si="36"/>
        <v>AWARE</v>
      </c>
      <c r="N53" s="64" t="str">
        <f>N32</f>
        <v>Price</v>
      </c>
      <c r="O53" s="142"/>
      <c r="AB53" s="146"/>
      <c r="AC53" s="93"/>
      <c r="AD53" s="94"/>
      <c r="AF53" s="97"/>
      <c r="AG53" s="146"/>
      <c r="AH53" s="146"/>
      <c r="AI53" s="146"/>
      <c r="AJ53" s="147" t="str">
        <f t="shared" ref="AJ53:AP54" si="37">H53</f>
        <v>GWP</v>
      </c>
      <c r="AK53" s="147" t="str">
        <f t="shared" si="37"/>
        <v>CED</v>
      </c>
      <c r="AL53" s="147" t="str">
        <f t="shared" si="37"/>
        <v>AWARE</v>
      </c>
      <c r="AM53" s="147" t="str">
        <f t="shared" si="37"/>
        <v>GWP</v>
      </c>
      <c r="AN53" s="147" t="str">
        <f t="shared" si="37"/>
        <v>CED</v>
      </c>
      <c r="AO53" s="147" t="str">
        <f t="shared" si="37"/>
        <v>AWARE</v>
      </c>
      <c r="AP53" s="64" t="str">
        <f t="shared" si="37"/>
        <v>Price</v>
      </c>
      <c r="AQ53" s="146"/>
      <c r="AR53" s="142"/>
      <c r="AS53" s="146"/>
      <c r="AT53" s="146"/>
      <c r="AU53" s="146"/>
      <c r="AV53" s="146"/>
      <c r="AW53" s="146"/>
      <c r="AX53" s="146"/>
      <c r="AY53" s="146"/>
      <c r="AZ53" s="146"/>
      <c r="BA53" s="146"/>
      <c r="BB53" s="146"/>
      <c r="BC53" s="146"/>
      <c r="BD53" s="111"/>
      <c r="BE53" s="51"/>
      <c r="BF53" s="51"/>
      <c r="BG53" s="51"/>
      <c r="BH53" s="51"/>
      <c r="BI53" s="51"/>
      <c r="BJ53" s="62"/>
      <c r="BK53" s="62"/>
      <c r="BL53" s="111"/>
      <c r="BM53" s="111"/>
      <c r="BN53" s="111"/>
      <c r="BO53" s="146"/>
      <c r="BP53" s="146"/>
      <c r="BQ53" s="146"/>
      <c r="BR53" s="146"/>
      <c r="BS53" s="146"/>
      <c r="BT53" s="146"/>
      <c r="BU53" s="146"/>
      <c r="BV53" s="146"/>
      <c r="BW53" s="146"/>
      <c r="BX53" s="146"/>
      <c r="BY53" s="146"/>
      <c r="BZ53" s="146"/>
      <c r="CA53" s="146"/>
      <c r="CB53" s="142"/>
      <c r="CC53" s="271"/>
      <c r="CD53" s="146"/>
      <c r="CE53" s="97"/>
      <c r="CF53" s="146"/>
      <c r="CG53" s="146"/>
      <c r="CH53" s="146"/>
      <c r="CI53" s="147" t="str">
        <f t="shared" ref="CI53:CO54" si="38">H53</f>
        <v>GWP</v>
      </c>
      <c r="CJ53" s="147" t="str">
        <f t="shared" si="38"/>
        <v>CED</v>
      </c>
      <c r="CK53" s="147" t="str">
        <f t="shared" si="38"/>
        <v>AWARE</v>
      </c>
      <c r="CL53" s="147" t="str">
        <f t="shared" si="38"/>
        <v>GWP</v>
      </c>
      <c r="CM53" s="147" t="str">
        <f t="shared" si="38"/>
        <v>CED</v>
      </c>
      <c r="CN53" s="147" t="str">
        <f t="shared" si="38"/>
        <v>AWARE</v>
      </c>
      <c r="CO53" s="64" t="str">
        <f t="shared" si="38"/>
        <v>Price</v>
      </c>
      <c r="CP53" s="146"/>
      <c r="CQ53" s="146"/>
      <c r="CR53" s="142"/>
      <c r="CS53" s="146"/>
      <c r="CT53" s="146"/>
      <c r="CU53" s="146"/>
      <c r="CV53" s="146"/>
      <c r="CW53" s="146"/>
      <c r="CX53" s="146"/>
      <c r="CY53" s="146"/>
      <c r="CZ53" s="146"/>
      <c r="DA53" s="146"/>
      <c r="DB53" s="146"/>
      <c r="DC53" s="146"/>
      <c r="DD53" s="146"/>
      <c r="DE53" s="271"/>
      <c r="DF53" s="146"/>
      <c r="DG53" s="97"/>
      <c r="DH53" s="146"/>
      <c r="DI53" s="146"/>
      <c r="DJ53" s="146"/>
      <c r="DK53" s="147" t="str">
        <f t="shared" ref="DK53:DQ54" si="39">H53</f>
        <v>GWP</v>
      </c>
      <c r="DL53" s="147" t="str">
        <f t="shared" si="39"/>
        <v>CED</v>
      </c>
      <c r="DM53" s="147" t="str">
        <f t="shared" si="39"/>
        <v>AWARE</v>
      </c>
      <c r="DN53" s="147" t="str">
        <f t="shared" si="39"/>
        <v>GWP</v>
      </c>
      <c r="DO53" s="147" t="str">
        <f t="shared" si="39"/>
        <v>CED</v>
      </c>
      <c r="DP53" s="147" t="str">
        <f t="shared" si="39"/>
        <v>AWARE</v>
      </c>
      <c r="DQ53" s="64" t="str">
        <f t="shared" si="39"/>
        <v>Price</v>
      </c>
      <c r="DR53" s="146"/>
      <c r="DS53" s="146"/>
      <c r="DT53" s="146"/>
      <c r="DU53" s="146"/>
      <c r="DV53" s="146"/>
      <c r="DW53" s="146"/>
      <c r="DX53" s="146"/>
      <c r="DY53" s="146"/>
      <c r="DZ53" s="146"/>
      <c r="EA53" s="146"/>
      <c r="EB53" s="146"/>
      <c r="EC53" s="146"/>
      <c r="ED53" s="146"/>
      <c r="EE53" s="146"/>
      <c r="EF53" s="146"/>
      <c r="EG53" s="146"/>
      <c r="EH53" s="146"/>
      <c r="EI53" s="146"/>
      <c r="EJ53" s="146"/>
      <c r="EK53" s="146"/>
      <c r="EL53" s="146"/>
      <c r="EM53" s="146"/>
      <c r="EN53" s="146"/>
      <c r="EO53" s="146"/>
      <c r="EP53" s="146"/>
      <c r="EQ53" s="146"/>
      <c r="ER53" s="146"/>
      <c r="ES53" s="146"/>
      <c r="ET53" s="146"/>
      <c r="EU53" s="146"/>
      <c r="EV53" s="146"/>
      <c r="EW53" s="146"/>
      <c r="EX53" s="146"/>
      <c r="EY53" s="146"/>
      <c r="EZ53" s="146"/>
      <c r="FA53" s="146"/>
      <c r="FB53" s="146"/>
      <c r="FC53" s="146"/>
    </row>
    <row r="54" spans="1:159" ht="15" customHeight="1">
      <c r="A54" s="142"/>
      <c r="B54" s="101"/>
      <c r="C54" s="60"/>
      <c r="D54" s="60"/>
      <c r="G54" s="57"/>
      <c r="H54" s="64" t="str">
        <f>VLOOKUP("Units_kg_CO2_kWh",Hidden_Translations!$B$11:$J$1184,Hidden_Translations!$C$8,FALSE)</f>
        <v>[kg CO2 eq/kWh]</v>
      </c>
      <c r="I54" s="64" t="str">
        <f>VLOOKUP("Units_MJ_kWh",Hidden_Translations!$B$11:$J$1184,Hidden_Translations!$C$8,FALSE)</f>
        <v>[MJ/kWh]</v>
      </c>
      <c r="J54" s="64" t="str">
        <f>VLOOKUP("Units_m3_kWh",Hidden_Translations!$B$11:$J$1184,Hidden_Translations!$C$8,FALSE)</f>
        <v>[m³ eq./kWh]</v>
      </c>
      <c r="K54" s="122" t="str">
        <f>K42</f>
        <v>[kg CO2 eq.]</v>
      </c>
      <c r="L54" s="122" t="str">
        <f>L42</f>
        <v>[MJ]</v>
      </c>
      <c r="M54" s="122" t="str">
        <f>M42</f>
        <v>[m³]</v>
      </c>
      <c r="N54" s="64" t="str">
        <f>N33</f>
        <v>[Euro]</v>
      </c>
      <c r="O54" s="142"/>
      <c r="AC54" s="93"/>
      <c r="AD54" s="101"/>
      <c r="AE54" s="60"/>
      <c r="AF54" s="146"/>
      <c r="AG54" s="146"/>
      <c r="AH54" s="146"/>
      <c r="AI54" s="57"/>
      <c r="AJ54" s="64" t="str">
        <f t="shared" si="37"/>
        <v>[kg CO2 eq/kWh]</v>
      </c>
      <c r="AK54" s="64" t="str">
        <f t="shared" si="37"/>
        <v>[MJ/kWh]</v>
      </c>
      <c r="AL54" s="64" t="str">
        <f t="shared" si="37"/>
        <v>[m³ eq./kWh]</v>
      </c>
      <c r="AM54" s="147" t="str">
        <f t="shared" si="37"/>
        <v>[kg CO2 eq.]</v>
      </c>
      <c r="AN54" s="147" t="str">
        <f t="shared" si="37"/>
        <v>[MJ]</v>
      </c>
      <c r="AO54" s="147" t="str">
        <f t="shared" si="37"/>
        <v>[m³]</v>
      </c>
      <c r="AP54" s="64" t="str">
        <f t="shared" si="37"/>
        <v>[Euro]</v>
      </c>
      <c r="AQ54" s="146"/>
      <c r="AR54" s="142"/>
      <c r="AS54" s="146"/>
      <c r="AT54" s="146"/>
      <c r="AU54" s="146"/>
      <c r="AV54" s="146"/>
      <c r="AW54" s="146"/>
      <c r="AX54" s="146"/>
      <c r="AY54" s="146"/>
      <c r="AZ54" s="146"/>
      <c r="BA54" s="146"/>
      <c r="BB54" s="146"/>
      <c r="BC54" s="146"/>
      <c r="BD54" s="111"/>
      <c r="BE54" s="51"/>
      <c r="BF54" s="51"/>
      <c r="BG54" s="51"/>
      <c r="BH54" s="51"/>
      <c r="BI54" s="51"/>
      <c r="BJ54" s="62"/>
      <c r="BK54" s="62"/>
      <c r="BL54" s="111"/>
      <c r="BM54" s="111"/>
      <c r="BN54" s="111"/>
      <c r="BO54" s="146"/>
      <c r="BP54" s="146"/>
      <c r="BQ54" s="146"/>
      <c r="BR54" s="146"/>
      <c r="BS54" s="146"/>
      <c r="BT54" s="146"/>
      <c r="BU54" s="146"/>
      <c r="BV54" s="146"/>
      <c r="BW54" s="146"/>
      <c r="BX54" s="146"/>
      <c r="BY54" s="146"/>
      <c r="BZ54" s="146"/>
      <c r="CA54" s="146"/>
      <c r="CB54" s="142"/>
      <c r="CC54" s="101"/>
      <c r="CD54" s="60"/>
      <c r="CE54" s="146"/>
      <c r="CF54" s="146"/>
      <c r="CG54" s="146"/>
      <c r="CH54" s="57"/>
      <c r="CI54" s="64" t="str">
        <f t="shared" si="38"/>
        <v>[kg CO2 eq/kWh]</v>
      </c>
      <c r="CJ54" s="64" t="str">
        <f t="shared" si="38"/>
        <v>[MJ/kWh]</v>
      </c>
      <c r="CK54" s="64" t="str">
        <f t="shared" si="38"/>
        <v>[m³ eq./kWh]</v>
      </c>
      <c r="CL54" s="147" t="str">
        <f t="shared" si="38"/>
        <v>[kg CO2 eq.]</v>
      </c>
      <c r="CM54" s="147" t="str">
        <f t="shared" si="38"/>
        <v>[MJ]</v>
      </c>
      <c r="CN54" s="147" t="str">
        <f t="shared" si="38"/>
        <v>[m³]</v>
      </c>
      <c r="CO54" s="64" t="str">
        <f t="shared" si="38"/>
        <v>[Euro]</v>
      </c>
      <c r="CP54" s="146"/>
      <c r="CQ54" s="146"/>
      <c r="CR54" s="142"/>
      <c r="CS54" s="146"/>
      <c r="CT54" s="146"/>
      <c r="CU54" s="146"/>
      <c r="CV54" s="146"/>
      <c r="CW54" s="146"/>
      <c r="CX54" s="146"/>
      <c r="CY54" s="146"/>
      <c r="CZ54" s="146"/>
      <c r="DA54" s="146"/>
      <c r="DB54" s="146"/>
      <c r="DC54" s="146"/>
      <c r="DD54" s="146"/>
      <c r="DE54" s="101"/>
      <c r="DF54" s="60"/>
      <c r="DG54" s="146"/>
      <c r="DH54" s="146"/>
      <c r="DI54" s="146"/>
      <c r="DJ54" s="57"/>
      <c r="DK54" s="64" t="str">
        <f t="shared" si="39"/>
        <v>[kg CO2 eq/kWh]</v>
      </c>
      <c r="DL54" s="64" t="str">
        <f t="shared" si="39"/>
        <v>[MJ/kWh]</v>
      </c>
      <c r="DM54" s="64" t="str">
        <f t="shared" si="39"/>
        <v>[m³ eq./kWh]</v>
      </c>
      <c r="DN54" s="147" t="str">
        <f t="shared" si="39"/>
        <v>[kg CO2 eq.]</v>
      </c>
      <c r="DO54" s="147" t="str">
        <f t="shared" si="39"/>
        <v>[MJ]</v>
      </c>
      <c r="DP54" s="147" t="str">
        <f t="shared" si="39"/>
        <v>[m³]</v>
      </c>
      <c r="DQ54" s="64" t="str">
        <f t="shared" si="39"/>
        <v>[Euro]</v>
      </c>
      <c r="DR54" s="146"/>
      <c r="DS54" s="146"/>
      <c r="DT54" s="146"/>
      <c r="DU54" s="146"/>
      <c r="DV54" s="146"/>
      <c r="DW54" s="146"/>
      <c r="DX54" s="146"/>
      <c r="DY54" s="146"/>
      <c r="DZ54" s="146"/>
      <c r="EA54" s="146"/>
      <c r="EB54" s="146"/>
      <c r="EC54" s="146"/>
      <c r="ED54" s="146"/>
      <c r="EE54" s="146"/>
      <c r="EF54" s="146"/>
      <c r="EG54" s="146"/>
      <c r="EH54" s="146"/>
      <c r="EI54" s="146"/>
      <c r="EJ54" s="146"/>
      <c r="EK54" s="146"/>
      <c r="EL54" s="146"/>
      <c r="EM54" s="146"/>
      <c r="EN54" s="146"/>
      <c r="EO54" s="146"/>
      <c r="EP54" s="146"/>
      <c r="EQ54" s="146"/>
      <c r="ER54" s="146"/>
      <c r="ES54" s="146"/>
      <c r="ET54" s="146"/>
      <c r="EU54" s="146"/>
      <c r="EV54" s="146"/>
      <c r="EW54" s="146"/>
      <c r="EX54" s="146"/>
      <c r="EY54" s="146"/>
      <c r="EZ54" s="146"/>
      <c r="FA54" s="146"/>
      <c r="FB54" s="146"/>
      <c r="FC54" s="146"/>
    </row>
    <row r="55" spans="1:159" ht="15" customHeight="1">
      <c r="A55" s="142"/>
      <c r="B55" s="143"/>
      <c r="C55" s="143" t="str">
        <f>Hidden_Database!C56</f>
        <v>Electricity mix Europe</v>
      </c>
      <c r="D55" s="317">
        <f>+SUM(Input!C73:G73)</f>
        <v>0</v>
      </c>
      <c r="E55" s="90" t="str">
        <f>VLOOKUP("Units_kWh",Hidden_Translations!$B$11:$J$1184,Hidden_Translations!$C$8,FALSE)</f>
        <v>[kWh]</v>
      </c>
      <c r="F55" s="90"/>
      <c r="G55" s="90"/>
      <c r="H55" s="320">
        <f>VLOOKUP($C55,Hidden_Database!$C$11:$I$75,4,FALSE)</f>
        <v>0.41899999999999998</v>
      </c>
      <c r="I55" s="320">
        <f>VLOOKUP($C55,Hidden_Database!$C$11:$I$75,5,FALSE)</f>
        <v>10.303421</v>
      </c>
      <c r="J55" s="321">
        <f>VLOOKUP($C55,Hidden_Database!$C$11:$I$75,6,FALSE)</f>
        <v>0.129</v>
      </c>
      <c r="K55" s="348">
        <f>$D55*H55</f>
        <v>0</v>
      </c>
      <c r="L55" s="348">
        <f>$D55*I55</f>
        <v>0</v>
      </c>
      <c r="M55" s="348">
        <f>$D55*J55</f>
        <v>0</v>
      </c>
      <c r="N55" s="348">
        <f>IF(C$7=Hidden_Lists!$C$20,VLOOKUP(C55,Hidden_Database!$C$11:$J$75,8,FALSE)*D55,0)</f>
        <v>0</v>
      </c>
      <c r="O55" s="142"/>
      <c r="AC55" s="93"/>
      <c r="AD55" s="90"/>
      <c r="AE55" s="90" t="str">
        <f>C55</f>
        <v>Electricity mix Europe</v>
      </c>
      <c r="AF55" s="272">
        <f>SUM(Input!C135:G135)</f>
        <v>0</v>
      </c>
      <c r="AG55" s="143" t="str">
        <f>E55</f>
        <v>[kWh]</v>
      </c>
      <c r="AH55" s="143"/>
      <c r="AI55" s="143"/>
      <c r="AJ55" s="320">
        <f>VLOOKUP($AE55,Hidden_Database!$C$11:$I$75,4,FALSE)</f>
        <v>0.41899999999999998</v>
      </c>
      <c r="AK55" s="320">
        <f>VLOOKUP($AE55,Hidden_Database!$C$11:$I$75,5,FALSE)</f>
        <v>10.303421</v>
      </c>
      <c r="AL55" s="321">
        <f>VLOOKUP($AE55,Hidden_Database!$C$11:$I$75,6,FALSE)</f>
        <v>0.129</v>
      </c>
      <c r="AM55" s="348">
        <f>$AF55*AJ55</f>
        <v>0</v>
      </c>
      <c r="AN55" s="348">
        <f>$AF55*AK55</f>
        <v>0</v>
      </c>
      <c r="AO55" s="348">
        <f>$AF55*AL55</f>
        <v>0</v>
      </c>
      <c r="AP55" s="348">
        <f>IF(AE$7=Hidden_Lists!$C$20,VLOOKUP(AE55,Hidden_Database!$C$11:$J$75,8,FALSE)*AF55,0)</f>
        <v>0</v>
      </c>
      <c r="AQ55" s="146"/>
      <c r="AR55" s="142"/>
      <c r="AS55" s="146"/>
      <c r="AT55" s="146"/>
      <c r="AU55" s="146"/>
      <c r="AV55" s="146"/>
      <c r="AW55" s="146"/>
      <c r="AX55" s="146"/>
      <c r="AY55" s="146"/>
      <c r="AZ55" s="146"/>
      <c r="BA55" s="146"/>
      <c r="BB55" s="146"/>
      <c r="BC55" s="146"/>
      <c r="BD55" s="111"/>
      <c r="BE55" s="51"/>
      <c r="BF55" s="51"/>
      <c r="BG55" s="51"/>
      <c r="BH55" s="51"/>
      <c r="BI55" s="51"/>
      <c r="BJ55" s="62"/>
      <c r="BK55" s="62"/>
      <c r="BL55" s="111"/>
      <c r="BM55" s="111"/>
      <c r="BN55" s="111"/>
      <c r="BO55" s="146"/>
      <c r="BP55" s="146"/>
      <c r="BQ55" s="146"/>
      <c r="BR55" s="146"/>
      <c r="BS55" s="146"/>
      <c r="BT55" s="146"/>
      <c r="BU55" s="146"/>
      <c r="BV55" s="146"/>
      <c r="BW55" s="146"/>
      <c r="BX55" s="146"/>
      <c r="BY55" s="146"/>
      <c r="BZ55" s="146"/>
      <c r="CA55" s="146"/>
      <c r="CB55" s="142"/>
      <c r="CC55" s="143"/>
      <c r="CD55" s="143" t="str">
        <f>C55</f>
        <v>Electricity mix Europe</v>
      </c>
      <c r="CE55" s="327">
        <f>SUM(Input!C200:G200)</f>
        <v>0</v>
      </c>
      <c r="CF55" s="143" t="str">
        <f>E55</f>
        <v>[kWh]</v>
      </c>
      <c r="CG55" s="143"/>
      <c r="CH55" s="143"/>
      <c r="CI55" s="320">
        <f>VLOOKUP($CD55,Hidden_Database!$C$11:$I$75,4,FALSE)</f>
        <v>0.41899999999999998</v>
      </c>
      <c r="CJ55" s="320">
        <f>VLOOKUP($CD55,Hidden_Database!$C$11:$I$75,5,FALSE)</f>
        <v>10.303421</v>
      </c>
      <c r="CK55" s="321">
        <f>VLOOKUP($CD55,Hidden_Database!$C$11:$I$75,6,FALSE)</f>
        <v>0.129</v>
      </c>
      <c r="CL55" s="348">
        <f>$CE55*CI55</f>
        <v>0</v>
      </c>
      <c r="CM55" s="348">
        <f>$CE55*CJ55</f>
        <v>0</v>
      </c>
      <c r="CN55" s="348">
        <f>$CE55*CK55</f>
        <v>0</v>
      </c>
      <c r="CO55" s="348">
        <f>IF(CD$7=Hidden_Lists!$C$20,VLOOKUP(CD55,Hidden_Database!$C$11:$J$75,8,FALSE)*CE55,0)</f>
        <v>0</v>
      </c>
      <c r="CP55" s="146"/>
      <c r="CQ55" s="146"/>
      <c r="CR55" s="142"/>
      <c r="CS55" s="146"/>
      <c r="CT55" s="146"/>
      <c r="CU55" s="146"/>
      <c r="CV55" s="146"/>
      <c r="CW55" s="146"/>
      <c r="CX55" s="146"/>
      <c r="CY55" s="146"/>
      <c r="CZ55" s="146"/>
      <c r="DA55" s="146"/>
      <c r="DB55" s="146"/>
      <c r="DC55" s="146"/>
      <c r="DD55" s="146"/>
      <c r="DE55" s="143"/>
      <c r="DF55" s="190" t="str">
        <f>C55</f>
        <v>Electricity mix Europe</v>
      </c>
      <c r="DG55" s="327">
        <f>SUM(Input!C248:G248)</f>
        <v>0</v>
      </c>
      <c r="DH55" s="143" t="str">
        <f>E55</f>
        <v>[kWh]</v>
      </c>
      <c r="DI55" s="143"/>
      <c r="DJ55" s="143"/>
      <c r="DK55" s="320">
        <f>VLOOKUP($DF55,Hidden_Database!$C$11:$I$75,4,FALSE)</f>
        <v>0.41899999999999998</v>
      </c>
      <c r="DL55" s="320">
        <f>VLOOKUP($DF55,Hidden_Database!$C$11:$I$75,5,FALSE)</f>
        <v>10.303421</v>
      </c>
      <c r="DM55" s="321">
        <f>VLOOKUP($DF55,Hidden_Database!$C$11:$I$75,6,FALSE)</f>
        <v>0.129</v>
      </c>
      <c r="DN55" s="348">
        <f>$DG55*DK55</f>
        <v>0</v>
      </c>
      <c r="DO55" s="348">
        <f>$DG55*DL55</f>
        <v>0</v>
      </c>
      <c r="DP55" s="348">
        <f>$DG55*DM55</f>
        <v>0</v>
      </c>
      <c r="DQ55" s="348">
        <f>IF(DF$7=Hidden_Lists!$C$20,VLOOKUP(DF55,Hidden_Database!$C$11:$J$75,8,FALSE)*DG55,0)</f>
        <v>0</v>
      </c>
      <c r="DR55" s="146"/>
      <c r="DS55" s="146"/>
      <c r="DT55" s="146"/>
      <c r="DU55" s="146"/>
      <c r="DV55" s="146"/>
      <c r="DW55" s="146"/>
      <c r="DX55" s="146"/>
      <c r="DY55" s="146"/>
      <c r="DZ55" s="146"/>
      <c r="EA55" s="146"/>
      <c r="EB55" s="146"/>
      <c r="EC55" s="146"/>
      <c r="ED55" s="146"/>
      <c r="EE55" s="146"/>
      <c r="EF55" s="146"/>
      <c r="EG55" s="146"/>
      <c r="EH55" s="146"/>
      <c r="EI55" s="146"/>
      <c r="EJ55" s="146"/>
      <c r="EK55" s="146"/>
      <c r="EL55" s="146"/>
      <c r="EM55" s="146"/>
      <c r="EN55" s="146"/>
      <c r="EO55" s="146"/>
      <c r="EP55" s="146"/>
      <c r="EQ55" s="146"/>
      <c r="ER55" s="146"/>
      <c r="ES55" s="146"/>
      <c r="ET55" s="146"/>
      <c r="EU55" s="146"/>
      <c r="EV55" s="146"/>
      <c r="EW55" s="146"/>
      <c r="EX55" s="146"/>
      <c r="EY55" s="146"/>
      <c r="EZ55" s="146"/>
      <c r="FA55" s="146"/>
      <c r="FB55" s="146"/>
      <c r="FC55" s="146"/>
    </row>
    <row r="56" spans="1:159" ht="15" customHeight="1">
      <c r="A56" s="142"/>
      <c r="B56" s="93"/>
      <c r="C56" s="140" t="str">
        <f>C32</f>
        <v>Type of vehicle</v>
      </c>
      <c r="D56" s="89" t="str">
        <f>VLOOKUP("Hidden_Calculation_Refrigeration_Fuel",Hidden_Translations!$B$11:$J$1184,Hidden_Translations!$C$8,FALSE)</f>
        <v>Type of fuel for refrigeration</v>
      </c>
      <c r="E56" s="89" t="str">
        <f>D41</f>
        <v>Amount</v>
      </c>
      <c r="F56" s="145" t="str">
        <f>G32</f>
        <v xml:space="preserve">Fuel consumption </v>
      </c>
      <c r="G56" s="138"/>
      <c r="H56" s="140" t="str">
        <f t="shared" ref="H56:N56" si="40">H32</f>
        <v>GWP</v>
      </c>
      <c r="I56" s="89" t="str">
        <f t="shared" si="40"/>
        <v>CED</v>
      </c>
      <c r="J56" s="89" t="str">
        <f t="shared" si="40"/>
        <v>AWARE</v>
      </c>
      <c r="K56" s="145" t="str">
        <f t="shared" si="40"/>
        <v>GWP</v>
      </c>
      <c r="L56" s="138" t="str">
        <f t="shared" si="40"/>
        <v>CED</v>
      </c>
      <c r="M56" s="140" t="str">
        <f t="shared" si="40"/>
        <v>AWARE</v>
      </c>
      <c r="N56" s="89" t="str">
        <f t="shared" si="40"/>
        <v>Price</v>
      </c>
      <c r="O56" s="142"/>
      <c r="AC56" s="93"/>
      <c r="AD56" s="93"/>
      <c r="AE56" s="140" t="str">
        <f>C56</f>
        <v>Type of vehicle</v>
      </c>
      <c r="AF56" s="89" t="str">
        <f>D56</f>
        <v>Type of fuel for refrigeration</v>
      </c>
      <c r="AG56" s="89" t="str">
        <f>E56</f>
        <v>Amount</v>
      </c>
      <c r="AH56" s="142" t="str">
        <f>F56</f>
        <v xml:space="preserve">Fuel consumption </v>
      </c>
      <c r="AI56" s="138"/>
      <c r="AJ56" s="140" t="str">
        <f t="shared" ref="AJ56:AP57" si="41">H56</f>
        <v>GWP</v>
      </c>
      <c r="AK56" s="89" t="str">
        <f t="shared" si="41"/>
        <v>CED</v>
      </c>
      <c r="AL56" s="89" t="str">
        <f t="shared" si="41"/>
        <v>AWARE</v>
      </c>
      <c r="AM56" s="145" t="str">
        <f t="shared" si="41"/>
        <v>GWP</v>
      </c>
      <c r="AN56" s="138" t="str">
        <f t="shared" si="41"/>
        <v>CED</v>
      </c>
      <c r="AO56" s="140" t="str">
        <f t="shared" si="41"/>
        <v>AWARE</v>
      </c>
      <c r="AP56" s="89" t="str">
        <f t="shared" si="41"/>
        <v>Price</v>
      </c>
      <c r="AQ56" s="146"/>
      <c r="AR56" s="142"/>
      <c r="AS56" s="146"/>
      <c r="AT56" s="146"/>
      <c r="AU56" s="146"/>
      <c r="AV56" s="146"/>
      <c r="AW56" s="146"/>
      <c r="AX56" s="146"/>
      <c r="AY56" s="146"/>
      <c r="AZ56" s="146"/>
      <c r="BA56" s="146"/>
      <c r="BB56" s="146"/>
      <c r="BC56" s="146"/>
      <c r="BD56" s="111"/>
      <c r="BE56" s="51"/>
      <c r="BF56" s="51"/>
      <c r="BG56" s="51"/>
      <c r="BH56" s="51"/>
      <c r="BI56" s="51"/>
      <c r="BJ56" s="62"/>
      <c r="BK56" s="62"/>
      <c r="BL56" s="111"/>
      <c r="BM56" s="111"/>
      <c r="BN56" s="111"/>
      <c r="BO56" s="146"/>
      <c r="BP56" s="137"/>
      <c r="BQ56" s="146"/>
      <c r="BR56" s="146"/>
      <c r="BS56" s="146"/>
      <c r="BT56" s="146"/>
      <c r="BU56" s="146"/>
      <c r="BV56" s="146"/>
      <c r="BW56" s="146"/>
      <c r="BX56" s="146"/>
      <c r="BY56" s="146"/>
      <c r="BZ56" s="146"/>
      <c r="CA56" s="146"/>
      <c r="CB56" s="142"/>
      <c r="CC56" s="142"/>
      <c r="CD56" s="140" t="str">
        <f>C56</f>
        <v>Type of vehicle</v>
      </c>
      <c r="CE56" s="89" t="str">
        <f>D56</f>
        <v>Type of fuel for refrigeration</v>
      </c>
      <c r="CF56" s="89" t="str">
        <f>E56</f>
        <v>Amount</v>
      </c>
      <c r="CG56" s="142" t="str">
        <f>F56</f>
        <v xml:space="preserve">Fuel consumption </v>
      </c>
      <c r="CH56" s="138"/>
      <c r="CI56" s="140" t="str">
        <f t="shared" ref="CI56:CO57" si="42">H56</f>
        <v>GWP</v>
      </c>
      <c r="CJ56" s="89" t="str">
        <f t="shared" si="42"/>
        <v>CED</v>
      </c>
      <c r="CK56" s="89" t="str">
        <f t="shared" si="42"/>
        <v>AWARE</v>
      </c>
      <c r="CL56" s="145" t="str">
        <f t="shared" si="42"/>
        <v>GWP</v>
      </c>
      <c r="CM56" s="138" t="str">
        <f t="shared" si="42"/>
        <v>CED</v>
      </c>
      <c r="CN56" s="140" t="str">
        <f t="shared" si="42"/>
        <v>AWARE</v>
      </c>
      <c r="CO56" s="89" t="str">
        <f t="shared" si="42"/>
        <v>Price</v>
      </c>
      <c r="CP56" s="146"/>
      <c r="CQ56" s="137"/>
      <c r="CR56" s="142"/>
      <c r="CS56" s="146"/>
      <c r="CT56" s="146"/>
      <c r="CU56" s="146"/>
      <c r="CV56" s="146"/>
      <c r="CW56" s="146"/>
      <c r="CX56" s="146"/>
      <c r="CY56" s="146"/>
      <c r="CZ56" s="146"/>
      <c r="DA56" s="146"/>
      <c r="DB56" s="146"/>
      <c r="DC56" s="146"/>
      <c r="DD56" s="146"/>
      <c r="DE56" s="142"/>
      <c r="DF56" s="140" t="str">
        <f>C56</f>
        <v>Type of vehicle</v>
      </c>
      <c r="DG56" s="89" t="str">
        <f>D56</f>
        <v>Type of fuel for refrigeration</v>
      </c>
      <c r="DH56" s="89" t="str">
        <f>E56</f>
        <v>Amount</v>
      </c>
      <c r="DI56" s="142" t="str">
        <f>F56</f>
        <v xml:space="preserve">Fuel consumption </v>
      </c>
      <c r="DJ56" s="138"/>
      <c r="DK56" s="140" t="str">
        <f t="shared" ref="DK56:DQ57" si="43">H56</f>
        <v>GWP</v>
      </c>
      <c r="DL56" s="89" t="str">
        <f t="shared" si="43"/>
        <v>CED</v>
      </c>
      <c r="DM56" s="89" t="str">
        <f t="shared" si="43"/>
        <v>AWARE</v>
      </c>
      <c r="DN56" s="145" t="str">
        <f t="shared" si="43"/>
        <v>GWP</v>
      </c>
      <c r="DO56" s="138" t="str">
        <f t="shared" si="43"/>
        <v>CED</v>
      </c>
      <c r="DP56" s="140" t="str">
        <f t="shared" si="43"/>
        <v>AWARE</v>
      </c>
      <c r="DQ56" s="89" t="str">
        <f t="shared" si="43"/>
        <v>Price</v>
      </c>
      <c r="DR56" s="146"/>
      <c r="DS56" s="146"/>
      <c r="DT56" s="146"/>
      <c r="DU56" s="146"/>
      <c r="DV56" s="146"/>
      <c r="DW56" s="146"/>
      <c r="DX56" s="146"/>
      <c r="DY56" s="146"/>
      <c r="DZ56" s="146"/>
      <c r="EA56" s="146"/>
      <c r="EB56" s="146"/>
      <c r="EC56" s="146"/>
      <c r="ED56" s="146"/>
      <c r="EE56" s="146"/>
      <c r="EF56" s="146"/>
      <c r="EG56" s="146"/>
      <c r="EH56" s="146"/>
      <c r="EI56" s="146"/>
      <c r="EJ56" s="146"/>
      <c r="EK56" s="146"/>
      <c r="EL56" s="146"/>
      <c r="EM56" s="146"/>
      <c r="EN56" s="146"/>
      <c r="EO56" s="146"/>
      <c r="EP56" s="146"/>
      <c r="EQ56" s="146"/>
      <c r="ER56" s="146"/>
      <c r="ES56" s="146"/>
      <c r="ET56" s="146"/>
      <c r="EU56" s="146"/>
      <c r="EV56" s="146"/>
      <c r="EW56" s="146"/>
      <c r="EX56" s="146"/>
      <c r="EY56" s="146"/>
      <c r="EZ56" s="146"/>
      <c r="FA56" s="146"/>
      <c r="FB56" s="146"/>
      <c r="FC56" s="146"/>
    </row>
    <row r="57" spans="1:159" ht="15" customHeight="1">
      <c r="B57" s="137"/>
      <c r="C57" s="140"/>
      <c r="D57" s="89"/>
      <c r="E57" s="89" t="str">
        <f>VLOOKUP("Units_l_h",Hidden_Translations!$B$11:$J$1184,Hidden_Translations!$C$8,FALSE)</f>
        <v>[l/h]</v>
      </c>
      <c r="F57" s="89" t="str">
        <f>VLOOKUP("Units_kg",Hidden_Translations!$B$11:$J$1184,Hidden_Translations!$C$8,FALSE)</f>
        <v>[kg]</v>
      </c>
      <c r="G57" s="139"/>
      <c r="H57" s="64" t="str">
        <f>VLOOKUP("Units_kg_CO2_kg",Hidden_Translations!$B$11:$J$1184,Hidden_Translations!$C$8,FALSE)</f>
        <v>[kg CO2 eq/kg]</v>
      </c>
      <c r="I57" s="64" t="str">
        <f>VLOOKUP("Units_MJ_kg",Hidden_Translations!$B$11:$J$1184,Hidden_Translations!$C$8,FALSE)</f>
        <v>[MJ/kg]</v>
      </c>
      <c r="J57" s="64" t="str">
        <f>VLOOKUP("Units_m3_kg",Hidden_Translations!$B$11:$J$1184,Hidden_Translations!$C$8,FALSE)</f>
        <v>[m³ eq./kg]</v>
      </c>
      <c r="K57" s="64" t="str">
        <f>K33</f>
        <v>[kg CO2 eq.]</v>
      </c>
      <c r="L57" s="64" t="str">
        <f>L33</f>
        <v>[MJ]</v>
      </c>
      <c r="M57" s="64" t="str">
        <f>M33</f>
        <v>[m³]</v>
      </c>
      <c r="N57" s="64" t="str">
        <f>N33</f>
        <v>[Euro]</v>
      </c>
      <c r="O57" s="93"/>
      <c r="AC57" s="93"/>
      <c r="AD57" s="137"/>
      <c r="AE57" s="140"/>
      <c r="AF57" s="89"/>
      <c r="AG57" s="89" t="str">
        <f>E57</f>
        <v>[l/h]</v>
      </c>
      <c r="AH57" s="89" t="str">
        <f>F57</f>
        <v>[kg]</v>
      </c>
      <c r="AI57" s="139"/>
      <c r="AJ57" s="64" t="str">
        <f t="shared" si="41"/>
        <v>[kg CO2 eq/kg]</v>
      </c>
      <c r="AK57" s="64" t="str">
        <f t="shared" si="41"/>
        <v>[MJ/kg]</v>
      </c>
      <c r="AL57" s="64" t="str">
        <f t="shared" si="41"/>
        <v>[m³ eq./kg]</v>
      </c>
      <c r="AM57" s="64" t="str">
        <f t="shared" si="41"/>
        <v>[kg CO2 eq.]</v>
      </c>
      <c r="AN57" s="64" t="str">
        <f t="shared" si="41"/>
        <v>[MJ]</v>
      </c>
      <c r="AO57" s="64" t="str">
        <f t="shared" si="41"/>
        <v>[m³]</v>
      </c>
      <c r="AP57" s="64" t="str">
        <f t="shared" si="41"/>
        <v>[Euro]</v>
      </c>
      <c r="AQ57" s="146"/>
      <c r="AR57" s="142"/>
      <c r="AS57" s="146"/>
      <c r="AT57" s="146"/>
      <c r="AU57" s="146"/>
      <c r="AV57" s="146"/>
      <c r="AW57" s="146"/>
      <c r="AX57" s="146"/>
      <c r="AY57" s="146"/>
      <c r="AZ57" s="146"/>
      <c r="BA57" s="146"/>
      <c r="BB57" s="146"/>
      <c r="BC57" s="146"/>
      <c r="BD57" s="91"/>
      <c r="BE57" s="51"/>
      <c r="BF57" s="51"/>
      <c r="BG57" s="51"/>
      <c r="BH57" s="51"/>
      <c r="BI57" s="51"/>
      <c r="BJ57" s="62"/>
      <c r="BK57" s="62"/>
      <c r="BL57" s="111"/>
      <c r="BM57" s="111"/>
      <c r="BN57" s="111"/>
      <c r="BO57" s="146"/>
      <c r="BP57" s="146"/>
      <c r="BQ57" s="146"/>
      <c r="BR57" s="146"/>
      <c r="BS57" s="146"/>
      <c r="BT57" s="146"/>
      <c r="BU57" s="146"/>
      <c r="BV57" s="146"/>
      <c r="BW57" s="146"/>
      <c r="BX57" s="146"/>
      <c r="BY57" s="146"/>
      <c r="BZ57" s="146"/>
      <c r="CA57" s="146"/>
      <c r="CB57" s="142"/>
      <c r="CC57" s="137"/>
      <c r="CD57" s="140"/>
      <c r="CE57" s="89"/>
      <c r="CF57" s="89" t="str">
        <f>E57</f>
        <v>[l/h]</v>
      </c>
      <c r="CG57" s="89" t="str">
        <f>F57</f>
        <v>[kg]</v>
      </c>
      <c r="CH57" s="139"/>
      <c r="CI57" s="64" t="str">
        <f t="shared" si="42"/>
        <v>[kg CO2 eq/kg]</v>
      </c>
      <c r="CJ57" s="64" t="str">
        <f t="shared" si="42"/>
        <v>[MJ/kg]</v>
      </c>
      <c r="CK57" s="64" t="str">
        <f t="shared" si="42"/>
        <v>[m³ eq./kg]</v>
      </c>
      <c r="CL57" s="64" t="str">
        <f t="shared" si="42"/>
        <v>[kg CO2 eq.]</v>
      </c>
      <c r="CM57" s="64" t="str">
        <f t="shared" si="42"/>
        <v>[MJ]</v>
      </c>
      <c r="CN57" s="64" t="str">
        <f t="shared" si="42"/>
        <v>[m³]</v>
      </c>
      <c r="CO57" s="64" t="str">
        <f t="shared" si="42"/>
        <v>[Euro]</v>
      </c>
      <c r="CP57" s="146"/>
      <c r="CQ57" s="146"/>
      <c r="CR57" s="142"/>
      <c r="CS57" s="146"/>
      <c r="CT57" s="146"/>
      <c r="CU57" s="146"/>
      <c r="CV57" s="146"/>
      <c r="CW57" s="146"/>
      <c r="CX57" s="146"/>
      <c r="CY57" s="146"/>
      <c r="CZ57" s="146"/>
      <c r="DA57" s="146"/>
      <c r="DB57" s="146"/>
      <c r="DC57" s="146"/>
      <c r="DD57" s="146"/>
      <c r="DE57" s="137"/>
      <c r="DF57" s="140"/>
      <c r="DG57" s="89"/>
      <c r="DH57" s="89" t="str">
        <f>E57</f>
        <v>[l/h]</v>
      </c>
      <c r="DI57" s="89" t="str">
        <f>F57</f>
        <v>[kg]</v>
      </c>
      <c r="DJ57" s="139"/>
      <c r="DK57" s="64" t="str">
        <f t="shared" si="43"/>
        <v>[kg CO2 eq/kg]</v>
      </c>
      <c r="DL57" s="64" t="str">
        <f t="shared" si="43"/>
        <v>[MJ/kg]</v>
      </c>
      <c r="DM57" s="64" t="str">
        <f t="shared" si="43"/>
        <v>[m³ eq./kg]</v>
      </c>
      <c r="DN57" s="64" t="str">
        <f t="shared" si="43"/>
        <v>[kg CO2 eq.]</v>
      </c>
      <c r="DO57" s="64" t="str">
        <f t="shared" si="43"/>
        <v>[MJ]</v>
      </c>
      <c r="DP57" s="64" t="str">
        <f t="shared" si="43"/>
        <v>[m³]</v>
      </c>
      <c r="DQ57" s="64" t="str">
        <f t="shared" si="43"/>
        <v>[Euro]</v>
      </c>
      <c r="DR57" s="146"/>
      <c r="DS57" s="61"/>
      <c r="DT57" s="270"/>
      <c r="DU57" s="270"/>
      <c r="DV57" s="146"/>
      <c r="DW57" s="146"/>
      <c r="DX57" s="97"/>
      <c r="DY57" s="97"/>
      <c r="DZ57" s="97"/>
      <c r="EA57" s="97"/>
      <c r="EB57" s="105"/>
      <c r="EC57" s="105"/>
      <c r="ED57" s="146"/>
      <c r="EE57" s="146"/>
      <c r="EF57" s="146"/>
      <c r="EG57" s="146"/>
      <c r="EH57" s="146"/>
      <c r="EI57" s="146"/>
      <c r="EJ57" s="146"/>
      <c r="EK57" s="146"/>
      <c r="EL57" s="146"/>
      <c r="EM57" s="146"/>
      <c r="EN57" s="146"/>
      <c r="EO57" s="146"/>
      <c r="EP57" s="146"/>
      <c r="EQ57" s="146"/>
      <c r="ER57" s="146"/>
      <c r="ES57" s="146"/>
      <c r="ET57" s="146"/>
      <c r="EU57" s="146"/>
      <c r="EV57" s="146"/>
      <c r="EW57" s="146"/>
      <c r="EX57" s="146"/>
      <c r="EY57" s="146"/>
      <c r="EZ57" s="146"/>
      <c r="FA57" s="146"/>
      <c r="FB57" s="146"/>
      <c r="FC57" s="146"/>
    </row>
    <row r="58" spans="1:159" ht="15" customHeight="1">
      <c r="B58" s="90" t="str">
        <f>B34</f>
        <v>Vehicle 1</v>
      </c>
      <c r="C58" s="309" t="str">
        <f>VLOOKUP(C34,Hidden_Lists!$D$56:$E$58,2,FALSE)</f>
        <v/>
      </c>
      <c r="D58" s="90" t="str">
        <f>Hidden_Database!$C$66</f>
        <v>Diesel</v>
      </c>
      <c r="E58" s="309">
        <f>+IF(C58=Hidden_Lists!$C$73,VLOOKUP(C$9,Hidden_Lists!$C$75:$D$120,2,FALSE),IF(C58=Hidden_Lists!$E$73,VLOOKUP(Hidden_Calculation!C$9,Hidden_Lists!$E$75:$F$120,2,FALSE),VLOOKUP(Hidden_Calculation!C$9,Hidden_Lists!$G$75:$H$120,2,FALSE)))</f>
        <v>3</v>
      </c>
      <c r="F58" s="346">
        <f>IF(C$7=Hidden_Lists!$C$19,0,E58*E34*VLOOKUP(D58,Hidden_Lists!$D$59:$F$60,3,FALSE))</f>
        <v>0</v>
      </c>
      <c r="G58" s="90"/>
      <c r="H58" s="320">
        <f>VLOOKUP($D58,Hidden_Database!$C$11:$I$75,4,FALSE)</f>
        <v>0.44397149000000002</v>
      </c>
      <c r="I58" s="320">
        <f>VLOOKUP($D58,Hidden_Database!$C$11:$I$75,5,FALSE)</f>
        <v>52.719065999999998</v>
      </c>
      <c r="J58" s="321">
        <f>VLOOKUP($D58,Hidden_Database!$C$11:$I$75,6,FALSE)</f>
        <v>0.10402995</v>
      </c>
      <c r="K58" s="348">
        <f t="shared" ref="K58:M62" si="44">+$F58*H58</f>
        <v>0</v>
      </c>
      <c r="L58" s="348">
        <f t="shared" si="44"/>
        <v>0</v>
      </c>
      <c r="M58" s="348">
        <f t="shared" si="44"/>
        <v>0</v>
      </c>
      <c r="N58" s="345">
        <f>IF(C$7=Hidden_Lists!$C$20,VLOOKUP(D58,Hidden_Database!$C$11:$J$75,8,FALSE)*F58,0)</f>
        <v>0</v>
      </c>
      <c r="O58" s="142"/>
      <c r="AC58" s="93"/>
      <c r="AD58" s="90" t="str">
        <f t="shared" ref="AD58:AD62" si="45">B58</f>
        <v>Vehicle 1</v>
      </c>
      <c r="AE58" s="309" t="str">
        <f>IF(AE34&lt;&gt;0,VLOOKUP(AE34,Hidden_Lists!$D$56:$E$58,2,FALSE),"")</f>
        <v/>
      </c>
      <c r="AF58" s="143" t="str">
        <f>D58</f>
        <v>Diesel</v>
      </c>
      <c r="AG58" s="312">
        <f>+IF(AE58=Hidden_Lists!$C$73,VLOOKUP(AE$9,Hidden_Lists!$C$75:$D$120,2,FALSE),IF(AE58=Hidden_Lists!$E$73,VLOOKUP(Hidden_Calculation!AE$9,Hidden_Lists!$E$75:$F$120,2,FALSE),VLOOKUP(Hidden_Calculation!AE$9,Hidden_Lists!$G$75:$H$120,2,FALSE)))</f>
        <v>3</v>
      </c>
      <c r="AH58" s="347">
        <f>IF(AE$7=Hidden_Lists!$C$19,0,AG58*AG34*VLOOKUP(AF58,Hidden_Lists!$D$59:$F$60,3,FALSE))</f>
        <v>0</v>
      </c>
      <c r="AI58" s="143"/>
      <c r="AJ58" s="320">
        <f>VLOOKUP($AF58,Hidden_Database!$C$11:$I$75,4,FALSE)</f>
        <v>0.44397149000000002</v>
      </c>
      <c r="AK58" s="320">
        <f>VLOOKUP($AF58,Hidden_Database!$C$11:$I$75,5,FALSE)</f>
        <v>52.719065999999998</v>
      </c>
      <c r="AL58" s="321">
        <f>VLOOKUP($AF58,Hidden_Database!$C$11:$I$75,6,FALSE)</f>
        <v>0.10402995</v>
      </c>
      <c r="AM58" s="348">
        <f t="shared" ref="AM58:AO62" si="46">AJ58*$AH58</f>
        <v>0</v>
      </c>
      <c r="AN58" s="348">
        <f t="shared" si="46"/>
        <v>0</v>
      </c>
      <c r="AO58" s="348">
        <f t="shared" si="46"/>
        <v>0</v>
      </c>
      <c r="AP58" s="345">
        <f>IF(AE$7=Hidden_Lists!$C$20,VLOOKUP(AF58,Hidden_Database!$C$11:$J$75,8,FALSE)*AH58,0)</f>
        <v>0</v>
      </c>
      <c r="AQ58" s="146"/>
      <c r="AR58" s="142"/>
      <c r="AS58" s="146"/>
      <c r="AT58" s="146"/>
      <c r="AU58" s="146"/>
      <c r="AV58" s="146"/>
      <c r="AW58" s="146"/>
      <c r="AX58" s="146"/>
      <c r="AY58" s="146"/>
      <c r="AZ58" s="146"/>
      <c r="BA58" s="146"/>
      <c r="BB58" s="146"/>
      <c r="BC58" s="146"/>
      <c r="BD58" s="64"/>
      <c r="BE58" s="51"/>
      <c r="BF58" s="51"/>
      <c r="BG58" s="51"/>
      <c r="BH58" s="51"/>
      <c r="BI58" s="51"/>
      <c r="BJ58" s="62"/>
      <c r="BK58" s="62"/>
      <c r="BL58" s="111"/>
      <c r="BM58" s="111"/>
      <c r="BN58" s="111"/>
      <c r="BO58" s="146"/>
      <c r="BP58" s="146"/>
      <c r="BQ58" s="146"/>
      <c r="BR58" s="146"/>
      <c r="BS58" s="146"/>
      <c r="BT58" s="146"/>
      <c r="BU58" s="146"/>
      <c r="BV58" s="146"/>
      <c r="BW58" s="146"/>
      <c r="BX58" s="146"/>
      <c r="BY58" s="146"/>
      <c r="BZ58" s="146"/>
      <c r="CA58" s="146"/>
      <c r="CB58" s="142"/>
      <c r="CC58" s="143" t="str">
        <f t="shared" ref="CC58:CC62" si="47">B58</f>
        <v>Vehicle 1</v>
      </c>
      <c r="CD58" s="312" t="str">
        <f>IF(CD34&lt;&gt;0,VLOOKUP(CD34,Hidden_Lists!$D$56:$E$58,2,FALSE),"")</f>
        <v/>
      </c>
      <c r="CE58" s="143" t="str">
        <f>D58</f>
        <v>Diesel</v>
      </c>
      <c r="CF58" s="312">
        <f>+IF(CD58=Hidden_Lists!$C$73,VLOOKUP(CD$9,Hidden_Lists!$C$75:$D$120,2,FALSE),IF(CD58=Hidden_Lists!$E$73,VLOOKUP(Hidden_Calculation!CD$9,Hidden_Lists!$E$75:$F$120,2,FALSE),VLOOKUP(Hidden_Calculation!CD$9,Hidden_Lists!$G$75:$H$120,2,FALSE)))</f>
        <v>3</v>
      </c>
      <c r="CG58" s="347">
        <f>IF(CD$7=Hidden_Lists!$C$19,0,CF58*CF34*VLOOKUP(CE58,Hidden_Lists!$D$59:$F$60,3,FALSE))</f>
        <v>0</v>
      </c>
      <c r="CH58" s="143"/>
      <c r="CI58" s="320">
        <f>VLOOKUP($CE58,Hidden_Database!$C$11:$I$75,4,FALSE)</f>
        <v>0.44397149000000002</v>
      </c>
      <c r="CJ58" s="320">
        <f>VLOOKUP($CE58,Hidden_Database!$C$11:$I$75,5,FALSE)</f>
        <v>52.719065999999998</v>
      </c>
      <c r="CK58" s="321">
        <f>VLOOKUP($CE58,Hidden_Database!$C$11:$I$75,6,FALSE)</f>
        <v>0.10402995</v>
      </c>
      <c r="CL58" s="348">
        <f t="shared" ref="CL58:CN62" si="48">+$CG58*CI58</f>
        <v>0</v>
      </c>
      <c r="CM58" s="348">
        <f t="shared" si="48"/>
        <v>0</v>
      </c>
      <c r="CN58" s="348">
        <f t="shared" si="48"/>
        <v>0</v>
      </c>
      <c r="CO58" s="345">
        <f>IF(CD$7=Hidden_Lists!$C$20,VLOOKUP(CE58,Hidden_Database!$C$11:$J$75,8,FALSE)*CG58,0)</f>
        <v>0</v>
      </c>
      <c r="CP58" s="146"/>
      <c r="CQ58" s="146"/>
      <c r="CR58" s="142"/>
      <c r="CS58" s="146"/>
      <c r="CT58" s="146"/>
      <c r="CU58" s="146"/>
      <c r="CV58" s="146"/>
      <c r="CW58" s="146"/>
      <c r="CX58" s="146"/>
      <c r="CY58" s="146"/>
      <c r="CZ58" s="146"/>
      <c r="DA58" s="146"/>
      <c r="DB58" s="146"/>
      <c r="DC58" s="146"/>
      <c r="DD58" s="146"/>
      <c r="DE58" s="143" t="str">
        <f t="shared" ref="DE58:DE62" si="49">B58</f>
        <v>Vehicle 1</v>
      </c>
      <c r="DF58" s="312" t="str">
        <f>IF(DF34&lt;&gt;0,VLOOKUP(DF34,Hidden_Lists!$D$56:$E$58,2,FALSE),"")</f>
        <v/>
      </c>
      <c r="DG58" s="143" t="str">
        <f>D58</f>
        <v>Diesel</v>
      </c>
      <c r="DH58" s="312">
        <f>+IF(DF58=Hidden_Lists!$C$73,VLOOKUP(DF$9,Hidden_Lists!$C$75:$D$120,2,FALSE),IF(DF58=Hidden_Lists!$E$73,VLOOKUP(Hidden_Calculation!DF$9,Hidden_Lists!$E$75:$F$120,2,FALSE),VLOOKUP(Hidden_Calculation!DF$9,Hidden_Lists!$G$75:$H$120,2,FALSE)))</f>
        <v>3</v>
      </c>
      <c r="DI58" s="347">
        <f>IF(DF$7=Hidden_Lists!$C$19,0,DH58*DH34*VLOOKUP(DG58,Hidden_Lists!$D$59:$F$60,3,FALSE))</f>
        <v>0</v>
      </c>
      <c r="DJ58" s="143"/>
      <c r="DK58" s="320">
        <f>VLOOKUP($DG58,Hidden_Database!$C$11:$I$75,4,FALSE)</f>
        <v>0.44397149000000002</v>
      </c>
      <c r="DL58" s="320">
        <f>VLOOKUP($DG58,Hidden_Database!$C$11:$I$75,5,FALSE)</f>
        <v>52.719065999999998</v>
      </c>
      <c r="DM58" s="321">
        <f>VLOOKUP($DG58,Hidden_Database!$C$11:$I$75,6,FALSE)</f>
        <v>0.10402995</v>
      </c>
      <c r="DN58" s="348">
        <f t="shared" ref="DN58:DP62" si="50">+$DI58*DK58</f>
        <v>0</v>
      </c>
      <c r="DO58" s="348">
        <f t="shared" si="50"/>
        <v>0</v>
      </c>
      <c r="DP58" s="348">
        <f t="shared" si="50"/>
        <v>0</v>
      </c>
      <c r="DQ58" s="345">
        <f>IF(DF$7=Hidden_Lists!$C$20,VLOOKUP(DG58,Hidden_Database!$C$11:$J$75,8,FALSE)*DI58,0)</f>
        <v>0</v>
      </c>
      <c r="DR58" s="146"/>
      <c r="DS58" s="146"/>
      <c r="DT58" s="146"/>
      <c r="DU58" s="146"/>
      <c r="DV58" s="146"/>
      <c r="DW58" s="146"/>
      <c r="DX58" s="146"/>
      <c r="DY58" s="146"/>
      <c r="DZ58" s="146"/>
      <c r="EA58" s="146"/>
      <c r="EB58" s="146"/>
      <c r="EC58" s="146"/>
      <c r="ED58" s="31"/>
      <c r="EE58" s="31"/>
      <c r="EF58" s="146"/>
      <c r="EG58" s="146"/>
      <c r="EH58" s="146"/>
      <c r="EI58" s="146"/>
      <c r="EJ58" s="146"/>
      <c r="EK58" s="146"/>
      <c r="EL58" s="146"/>
      <c r="EM58" s="146"/>
      <c r="EN58" s="146"/>
      <c r="EO58" s="146"/>
      <c r="EP58" s="146"/>
      <c r="EQ58" s="146"/>
      <c r="ER58" s="146"/>
      <c r="ES58" s="146"/>
      <c r="ET58" s="146"/>
      <c r="EU58" s="146"/>
      <c r="EV58" s="146"/>
      <c r="EW58" s="146"/>
      <c r="EX58" s="146"/>
      <c r="EY58" s="146"/>
      <c r="EZ58" s="146"/>
      <c r="FA58" s="146"/>
      <c r="FB58" s="146"/>
      <c r="FC58" s="146"/>
    </row>
    <row r="59" spans="1:159" ht="15" customHeight="1">
      <c r="A59" s="146"/>
      <c r="B59" s="90" t="str">
        <f>B35</f>
        <v>Vehicle 2</v>
      </c>
      <c r="C59" s="309" t="str">
        <f>VLOOKUP(C35,Hidden_Lists!$D$56:$E$58,2,FALSE)</f>
        <v/>
      </c>
      <c r="D59" s="90" t="str">
        <f>Hidden_Database!$C$66</f>
        <v>Diesel</v>
      </c>
      <c r="E59" s="309">
        <f>+IF(C59=Hidden_Lists!$C$73,VLOOKUP(C$9,Hidden_Lists!$C$75:$D$120,2,FALSE),IF(C59=Hidden_Lists!$E$73,VLOOKUP(Hidden_Calculation!C$9,Hidden_Lists!$E$75:$F$120,2,FALSE),VLOOKUP(Hidden_Calculation!C$9,Hidden_Lists!$G$75:$H$120,2,FALSE)))</f>
        <v>3</v>
      </c>
      <c r="F59" s="346">
        <f>IF(C$7=Hidden_Lists!$C$19,0,E59*E35*VLOOKUP(D59,Hidden_Lists!$D$59:$F$60,3,FALSE))</f>
        <v>0</v>
      </c>
      <c r="G59" s="90"/>
      <c r="H59" s="320">
        <f>VLOOKUP($D59,Hidden_Database!$C$11:$I$75,4,FALSE)</f>
        <v>0.44397149000000002</v>
      </c>
      <c r="I59" s="320">
        <f>VLOOKUP($D59,Hidden_Database!$C$11:$I$75,5,FALSE)</f>
        <v>52.719065999999998</v>
      </c>
      <c r="J59" s="321">
        <f>VLOOKUP($D59,Hidden_Database!$C$11:$I$75,6,FALSE)</f>
        <v>0.10402995</v>
      </c>
      <c r="K59" s="348">
        <f t="shared" si="44"/>
        <v>0</v>
      </c>
      <c r="L59" s="348">
        <f t="shared" si="44"/>
        <v>0</v>
      </c>
      <c r="M59" s="348">
        <f t="shared" si="44"/>
        <v>0</v>
      </c>
      <c r="N59" s="345">
        <f>IF(C$7=Hidden_Lists!$C$20,VLOOKUP(D59,Hidden_Database!$C$11:$J$75,8,FALSE)*F59,0)</f>
        <v>0</v>
      </c>
      <c r="O59" s="142"/>
      <c r="AC59" s="93"/>
      <c r="AD59" s="90" t="str">
        <f t="shared" si="45"/>
        <v>Vehicle 2</v>
      </c>
      <c r="AE59" s="309" t="str">
        <f>IF(AE35&lt;&gt;0,VLOOKUP(AE35,Hidden_Lists!$D$56:$E$58,2,FALSE),"")</f>
        <v/>
      </c>
      <c r="AF59" s="143" t="str">
        <f t="shared" ref="AF59:AF62" si="51">D59</f>
        <v>Diesel</v>
      </c>
      <c r="AG59" s="312">
        <f>+IF(AE59=Hidden_Lists!$C$73,VLOOKUP(AE$9,Hidden_Lists!$C$75:$D$120,2,FALSE),IF(AE59=Hidden_Lists!$E$73,VLOOKUP(Hidden_Calculation!AE$9,Hidden_Lists!$E$75:$F$120,2,FALSE),VLOOKUP(Hidden_Calculation!AE$9,Hidden_Lists!$G$75:$H$120,2,FALSE)))</f>
        <v>3</v>
      </c>
      <c r="AH59" s="347">
        <f>IF(AE$7=Hidden_Lists!$C$19,0,AG59*AG35*VLOOKUP(AF59,Hidden_Lists!$D$59:$F$60,3,FALSE))</f>
        <v>0</v>
      </c>
      <c r="AI59" s="143"/>
      <c r="AJ59" s="320">
        <f>VLOOKUP($AF59,Hidden_Database!$C$11:$I$75,4,FALSE)</f>
        <v>0.44397149000000002</v>
      </c>
      <c r="AK59" s="320">
        <f>VLOOKUP($AF59,Hidden_Database!$C$11:$I$75,5,FALSE)</f>
        <v>52.719065999999998</v>
      </c>
      <c r="AL59" s="321">
        <f>VLOOKUP($AF59,Hidden_Database!$C$11:$I$75,6,FALSE)</f>
        <v>0.10402995</v>
      </c>
      <c r="AM59" s="348">
        <f t="shared" si="46"/>
        <v>0</v>
      </c>
      <c r="AN59" s="348">
        <f t="shared" si="46"/>
        <v>0</v>
      </c>
      <c r="AO59" s="348">
        <f t="shared" si="46"/>
        <v>0</v>
      </c>
      <c r="AP59" s="345">
        <f>IF(AE$7=Hidden_Lists!$C$20,VLOOKUP(AF59,Hidden_Database!$C$11:$J$75,8,FALSE)*AH59,0)</f>
        <v>0</v>
      </c>
      <c r="AQ59" s="146"/>
      <c r="AR59" s="142"/>
      <c r="AS59" s="146"/>
      <c r="AT59" s="146"/>
      <c r="AU59" s="146"/>
      <c r="AV59" s="146"/>
      <c r="AW59" s="146"/>
      <c r="AX59" s="146"/>
      <c r="AY59" s="146"/>
      <c r="AZ59" s="146"/>
      <c r="BA59" s="146"/>
      <c r="BB59" s="146"/>
      <c r="BC59" s="146"/>
      <c r="BD59" s="62"/>
      <c r="BE59" s="51"/>
      <c r="BF59" s="51"/>
      <c r="BG59" s="51"/>
      <c r="BH59" s="51"/>
      <c r="BI59" s="51"/>
      <c r="BJ59" s="62"/>
      <c r="BK59" s="62"/>
      <c r="BL59" s="111"/>
      <c r="BM59" s="111"/>
      <c r="BN59" s="111"/>
      <c r="BO59" s="146"/>
      <c r="BP59" s="146"/>
      <c r="BQ59" s="146"/>
      <c r="BR59" s="146"/>
      <c r="BS59" s="146"/>
      <c r="BT59" s="146"/>
      <c r="BU59" s="146"/>
      <c r="BV59" s="146"/>
      <c r="BW59" s="146"/>
      <c r="BX59" s="146"/>
      <c r="BY59" s="146"/>
      <c r="BZ59" s="146"/>
      <c r="CA59" s="146"/>
      <c r="CB59" s="142"/>
      <c r="CC59" s="143" t="str">
        <f t="shared" si="47"/>
        <v>Vehicle 2</v>
      </c>
      <c r="CD59" s="312" t="str">
        <f>IF(CD35&lt;&gt;0,VLOOKUP(CD35,Hidden_Lists!$D$56:$E$58,2,FALSE),"")</f>
        <v/>
      </c>
      <c r="CE59" s="143" t="str">
        <f>D59</f>
        <v>Diesel</v>
      </c>
      <c r="CF59" s="312">
        <f>+IF(CD59=Hidden_Lists!$C$73,VLOOKUP(CD$9,Hidden_Lists!$C$75:$D$120,2,FALSE),IF(CD59=Hidden_Lists!$E$73,VLOOKUP(Hidden_Calculation!CD$9,Hidden_Lists!$E$75:$F$120,2,FALSE),VLOOKUP(Hidden_Calculation!CD$9,Hidden_Lists!$G$75:$H$120,2,FALSE)))</f>
        <v>3</v>
      </c>
      <c r="CG59" s="347">
        <f>IF(CD$7=Hidden_Lists!$C$19,0,CF59*CF35*VLOOKUP(CE59,Hidden_Lists!$D$59:$F$60,3,FALSE))</f>
        <v>0</v>
      </c>
      <c r="CH59" s="143"/>
      <c r="CI59" s="320">
        <f>VLOOKUP($CE59,Hidden_Database!$C$11:$I$75,4,FALSE)</f>
        <v>0.44397149000000002</v>
      </c>
      <c r="CJ59" s="320">
        <f>VLOOKUP($CE59,Hidden_Database!$C$11:$I$75,5,FALSE)</f>
        <v>52.719065999999998</v>
      </c>
      <c r="CK59" s="321">
        <f>VLOOKUP($CE59,Hidden_Database!$C$11:$I$75,6,FALSE)</f>
        <v>0.10402995</v>
      </c>
      <c r="CL59" s="348">
        <f t="shared" si="48"/>
        <v>0</v>
      </c>
      <c r="CM59" s="348">
        <f t="shared" si="48"/>
        <v>0</v>
      </c>
      <c r="CN59" s="348">
        <f t="shared" si="48"/>
        <v>0</v>
      </c>
      <c r="CO59" s="345">
        <f>IF(CD$7=Hidden_Lists!$C$20,VLOOKUP(CE59,Hidden_Database!$C$11:$J$75,8,FALSE)*CG59,0)</f>
        <v>0</v>
      </c>
      <c r="CP59" s="146"/>
      <c r="CQ59" s="146"/>
      <c r="CR59" s="142"/>
      <c r="CS59" s="146"/>
      <c r="CT59" s="146"/>
      <c r="CU59" s="146"/>
      <c r="CV59" s="146"/>
      <c r="CW59" s="146"/>
      <c r="CX59" s="146"/>
      <c r="CY59" s="146"/>
      <c r="CZ59" s="146"/>
      <c r="DA59" s="146"/>
      <c r="DB59" s="146"/>
      <c r="DC59" s="146"/>
      <c r="DD59" s="146"/>
      <c r="DE59" s="143" t="str">
        <f t="shared" si="49"/>
        <v>Vehicle 2</v>
      </c>
      <c r="DF59" s="312" t="str">
        <f>IF(DF35&lt;&gt;0,VLOOKUP(DF35,Hidden_Lists!$D$56:$E$58,2,FALSE),"")</f>
        <v/>
      </c>
      <c r="DG59" s="143" t="str">
        <f>D59</f>
        <v>Diesel</v>
      </c>
      <c r="DH59" s="312">
        <f>+IF(DF59=Hidden_Lists!$C$73,VLOOKUP(DF$9,Hidden_Lists!$C$75:$D$120,2,FALSE),IF(DF59=Hidden_Lists!$E$73,VLOOKUP(Hidden_Calculation!DF$9,Hidden_Lists!$E$75:$F$120,2,FALSE),VLOOKUP(Hidden_Calculation!DF$9,Hidden_Lists!$G$75:$H$120,2,FALSE)))</f>
        <v>3</v>
      </c>
      <c r="DI59" s="347">
        <f>IF(DF$7=Hidden_Lists!$C$19,0,DH59*DH35*VLOOKUP(DG59,Hidden_Lists!$D$59:$F$60,3,FALSE))</f>
        <v>0</v>
      </c>
      <c r="DJ59" s="143"/>
      <c r="DK59" s="320">
        <f>VLOOKUP($DG59,Hidden_Database!$C$11:$I$75,4,FALSE)</f>
        <v>0.44397149000000002</v>
      </c>
      <c r="DL59" s="320">
        <f>VLOOKUP($DG59,Hidden_Database!$C$11:$I$75,5,FALSE)</f>
        <v>52.719065999999998</v>
      </c>
      <c r="DM59" s="321">
        <f>VLOOKUP($DG59,Hidden_Database!$C$11:$I$75,6,FALSE)</f>
        <v>0.10402995</v>
      </c>
      <c r="DN59" s="348">
        <f t="shared" si="50"/>
        <v>0</v>
      </c>
      <c r="DO59" s="348">
        <f t="shared" si="50"/>
        <v>0</v>
      </c>
      <c r="DP59" s="348">
        <f t="shared" si="50"/>
        <v>0</v>
      </c>
      <c r="DQ59" s="345">
        <f>IF(DF$7=Hidden_Lists!$C$20,VLOOKUP(DG59,Hidden_Database!$C$11:$J$75,8,FALSE)*DI59,0)</f>
        <v>0</v>
      </c>
      <c r="DR59" s="146"/>
      <c r="DS59" s="146"/>
      <c r="DT59" s="146"/>
      <c r="DU59" s="146"/>
      <c r="DV59" s="146"/>
      <c r="DW59" s="146"/>
      <c r="DX59" s="31"/>
      <c r="DY59" s="31"/>
      <c r="DZ59" s="31"/>
      <c r="EA59" s="31"/>
      <c r="EB59" s="31"/>
      <c r="EC59" s="31"/>
      <c r="ED59" s="31"/>
      <c r="EE59" s="31"/>
      <c r="EF59" s="146"/>
      <c r="EG59" s="146"/>
      <c r="EH59" s="146"/>
      <c r="EI59" s="146"/>
      <c r="EJ59" s="146"/>
      <c r="EK59" s="146"/>
      <c r="EL59" s="146"/>
      <c r="EM59" s="146"/>
      <c r="EN59" s="146"/>
      <c r="EO59" s="146"/>
      <c r="EP59" s="146"/>
      <c r="EQ59" s="146"/>
      <c r="ER59" s="146"/>
      <c r="ES59" s="146"/>
      <c r="ET59" s="146"/>
      <c r="EU59" s="146"/>
      <c r="EV59" s="146"/>
      <c r="EW59" s="146"/>
      <c r="EX59" s="146"/>
      <c r="EY59" s="146"/>
      <c r="EZ59" s="146"/>
      <c r="FA59" s="146"/>
      <c r="FB59" s="146"/>
      <c r="FC59" s="146"/>
    </row>
    <row r="60" spans="1:159" ht="15" customHeight="1">
      <c r="B60" s="90" t="str">
        <f>B36</f>
        <v>Vehicle 3</v>
      </c>
      <c r="C60" s="309" t="str">
        <f>VLOOKUP(C36,Hidden_Lists!$D$56:$E$58,2,FALSE)</f>
        <v/>
      </c>
      <c r="D60" s="90" t="str">
        <f>Hidden_Database!$C$66</f>
        <v>Diesel</v>
      </c>
      <c r="E60" s="309">
        <f>+IF(C60=Hidden_Lists!$C$73,VLOOKUP(C$9,Hidden_Lists!$C$75:$D$120,2,FALSE),IF(C60=Hidden_Lists!$E$73,VLOOKUP(Hidden_Calculation!C$9,Hidden_Lists!$E$75:$F$120,2,FALSE),VLOOKUP(Hidden_Calculation!C$9,Hidden_Lists!$G$75:$H$120,2,FALSE)))</f>
        <v>3</v>
      </c>
      <c r="F60" s="346">
        <f>IF(C$7=Hidden_Lists!$C$19,0,E60*E36*VLOOKUP(D60,Hidden_Lists!$D$59:$F$60,3,FALSE))</f>
        <v>0</v>
      </c>
      <c r="G60" s="90"/>
      <c r="H60" s="320">
        <f>VLOOKUP($D60,Hidden_Database!$C$11:$I$75,4,FALSE)</f>
        <v>0.44397149000000002</v>
      </c>
      <c r="I60" s="320">
        <f>VLOOKUP($D60,Hidden_Database!$C$11:$I$75,5,FALSE)</f>
        <v>52.719065999999998</v>
      </c>
      <c r="J60" s="321">
        <f>VLOOKUP($D60,Hidden_Database!$C$11:$I$75,6,FALSE)</f>
        <v>0.10402995</v>
      </c>
      <c r="K60" s="348">
        <f t="shared" si="44"/>
        <v>0</v>
      </c>
      <c r="L60" s="348">
        <f t="shared" si="44"/>
        <v>0</v>
      </c>
      <c r="M60" s="348">
        <f t="shared" si="44"/>
        <v>0</v>
      </c>
      <c r="N60" s="345">
        <f>IF(C$7=Hidden_Lists!$C$20,VLOOKUP(D60,Hidden_Database!$C$11:$J$75,8,FALSE)*F60,0)</f>
        <v>0</v>
      </c>
      <c r="O60" s="93"/>
      <c r="AC60" s="93"/>
      <c r="AD60" s="90" t="str">
        <f t="shared" si="45"/>
        <v>Vehicle 3</v>
      </c>
      <c r="AE60" s="309" t="str">
        <f>IF(AE36&lt;&gt;0,VLOOKUP(AE36,Hidden_Lists!$D$56:$E$58,2,FALSE),"")</f>
        <v/>
      </c>
      <c r="AF60" s="143" t="str">
        <f t="shared" si="51"/>
        <v>Diesel</v>
      </c>
      <c r="AG60" s="312">
        <f>+IF(AE60=Hidden_Lists!$C$73,VLOOKUP(AE$9,Hidden_Lists!$C$75:$D$120,2,FALSE),IF(AE60=Hidden_Lists!$E$73,VLOOKUP(Hidden_Calculation!AE$9,Hidden_Lists!$E$75:$F$120,2,FALSE),VLOOKUP(Hidden_Calculation!AE$9,Hidden_Lists!$G$75:$H$120,2,FALSE)))</f>
        <v>3</v>
      </c>
      <c r="AH60" s="347">
        <f>IF(AE$7=Hidden_Lists!$C$19,0,AG60*AG36*VLOOKUP(AF60,Hidden_Lists!$D$59:$F$60,3,FALSE))</f>
        <v>0</v>
      </c>
      <c r="AI60" s="143"/>
      <c r="AJ60" s="320">
        <f>VLOOKUP($AF60,Hidden_Database!$C$11:$I$75,4,FALSE)</f>
        <v>0.44397149000000002</v>
      </c>
      <c r="AK60" s="320">
        <f>VLOOKUP($AF60,Hidden_Database!$C$11:$I$75,5,FALSE)</f>
        <v>52.719065999999998</v>
      </c>
      <c r="AL60" s="321">
        <f>VLOOKUP($AF60,Hidden_Database!$C$11:$I$75,6,FALSE)</f>
        <v>0.10402995</v>
      </c>
      <c r="AM60" s="348">
        <f t="shared" si="46"/>
        <v>0</v>
      </c>
      <c r="AN60" s="348">
        <f t="shared" si="46"/>
        <v>0</v>
      </c>
      <c r="AO60" s="348">
        <f t="shared" si="46"/>
        <v>0</v>
      </c>
      <c r="AP60" s="345">
        <f>IF(AE$7=Hidden_Lists!$C$20,VLOOKUP(AF60,Hidden_Database!$C$11:$J$75,8,FALSE)*AH60,0)</f>
        <v>0</v>
      </c>
      <c r="AQ60" s="146"/>
      <c r="AR60" s="142"/>
      <c r="AS60" s="146"/>
      <c r="AT60" s="146"/>
      <c r="AU60" s="146"/>
      <c r="AV60" s="146"/>
      <c r="AW60" s="146"/>
      <c r="AX60" s="146"/>
      <c r="AY60" s="146"/>
      <c r="AZ60" s="146"/>
      <c r="BA60" s="146"/>
      <c r="BB60" s="146"/>
      <c r="BC60" s="146"/>
      <c r="BD60" s="62"/>
      <c r="BE60" s="51"/>
      <c r="BF60" s="51"/>
      <c r="BG60" s="51"/>
      <c r="BH60" s="51"/>
      <c r="BI60" s="51"/>
      <c r="BJ60" s="62"/>
      <c r="BK60" s="62"/>
      <c r="BL60" s="111"/>
      <c r="BM60" s="111"/>
      <c r="BN60" s="111"/>
      <c r="BO60" s="146"/>
      <c r="BP60" s="146"/>
      <c r="BQ60" s="146"/>
      <c r="BR60" s="146"/>
      <c r="BS60" s="146"/>
      <c r="BT60" s="146"/>
      <c r="BU60" s="146"/>
      <c r="BV60" s="146"/>
      <c r="BW60" s="146"/>
      <c r="BX60" s="146"/>
      <c r="BY60" s="146"/>
      <c r="BZ60" s="146"/>
      <c r="CA60" s="146"/>
      <c r="CB60" s="142"/>
      <c r="CC60" s="143" t="str">
        <f t="shared" si="47"/>
        <v>Vehicle 3</v>
      </c>
      <c r="CD60" s="312" t="str">
        <f>IF(CD36&lt;&gt;0,VLOOKUP(CD36,Hidden_Lists!$D$56:$E$58,2,FALSE),"")</f>
        <v/>
      </c>
      <c r="CE60" s="143" t="str">
        <f>D60</f>
        <v>Diesel</v>
      </c>
      <c r="CF60" s="312">
        <f>+IF(CD60=Hidden_Lists!$C$73,VLOOKUP(CD$9,Hidden_Lists!$C$75:$D$120,2,FALSE),IF(CD60=Hidden_Lists!$E$73,VLOOKUP(Hidden_Calculation!CD$9,Hidden_Lists!$E$75:$F$120,2,FALSE),VLOOKUP(Hidden_Calculation!CD$9,Hidden_Lists!$G$75:$H$120,2,FALSE)))</f>
        <v>3</v>
      </c>
      <c r="CG60" s="347">
        <f>IF(CD$7=Hidden_Lists!$C$19,0,CF60*CF36*VLOOKUP(CE60,Hidden_Lists!$D$59:$F$60,3,FALSE))</f>
        <v>0</v>
      </c>
      <c r="CH60" s="143"/>
      <c r="CI60" s="320">
        <f>VLOOKUP($CE60,Hidden_Database!$C$11:$I$75,4,FALSE)</f>
        <v>0.44397149000000002</v>
      </c>
      <c r="CJ60" s="320">
        <f>VLOOKUP($CE60,Hidden_Database!$C$11:$I$75,5,FALSE)</f>
        <v>52.719065999999998</v>
      </c>
      <c r="CK60" s="321">
        <f>VLOOKUP($CE60,Hidden_Database!$C$11:$I$75,6,FALSE)</f>
        <v>0.10402995</v>
      </c>
      <c r="CL60" s="348">
        <f t="shared" si="48"/>
        <v>0</v>
      </c>
      <c r="CM60" s="348">
        <f t="shared" si="48"/>
        <v>0</v>
      </c>
      <c r="CN60" s="348">
        <f t="shared" si="48"/>
        <v>0</v>
      </c>
      <c r="CO60" s="345">
        <f>IF(CD$7=Hidden_Lists!$C$20,VLOOKUP(CE60,Hidden_Database!$C$11:$J$75,8,FALSE)*CG60,0)</f>
        <v>0</v>
      </c>
      <c r="CP60" s="146"/>
      <c r="CQ60" s="146"/>
      <c r="CR60" s="142"/>
      <c r="CS60" s="146"/>
      <c r="CT60" s="146"/>
      <c r="CU60" s="146"/>
      <c r="CV60" s="146"/>
      <c r="CW60" s="146"/>
      <c r="CX60" s="146"/>
      <c r="CY60" s="146"/>
      <c r="CZ60" s="146"/>
      <c r="DA60" s="146"/>
      <c r="DB60" s="146"/>
      <c r="DC60" s="146"/>
      <c r="DD60" s="146"/>
      <c r="DE60" s="143" t="str">
        <f t="shared" si="49"/>
        <v>Vehicle 3</v>
      </c>
      <c r="DF60" s="312" t="str">
        <f>IF(DF36&lt;&gt;0,VLOOKUP(DF36,Hidden_Lists!$D$56:$E$58,2,FALSE),"")</f>
        <v/>
      </c>
      <c r="DG60" s="143" t="str">
        <f>D60</f>
        <v>Diesel</v>
      </c>
      <c r="DH60" s="312">
        <f>+IF(DF60=Hidden_Lists!$C$73,VLOOKUP(DF$9,Hidden_Lists!$C$75:$D$120,2,FALSE),IF(DF60=Hidden_Lists!$E$73,VLOOKUP(Hidden_Calculation!DF$9,Hidden_Lists!$E$75:$F$120,2,FALSE),VLOOKUP(Hidden_Calculation!DF$9,Hidden_Lists!$G$75:$H$120,2,FALSE)))</f>
        <v>3</v>
      </c>
      <c r="DI60" s="347">
        <f>IF(DF$7=Hidden_Lists!$C$19,0,DH60*DH36*VLOOKUP(DG60,Hidden_Lists!$D$59:$F$60,3,FALSE))</f>
        <v>0</v>
      </c>
      <c r="DJ60" s="143"/>
      <c r="DK60" s="320">
        <f>VLOOKUP($DG60,Hidden_Database!$C$11:$I$75,4,FALSE)</f>
        <v>0.44397149000000002</v>
      </c>
      <c r="DL60" s="320">
        <f>VLOOKUP($DG60,Hidden_Database!$C$11:$I$75,5,FALSE)</f>
        <v>52.719065999999998</v>
      </c>
      <c r="DM60" s="321">
        <f>VLOOKUP($DG60,Hidden_Database!$C$11:$I$75,6,FALSE)</f>
        <v>0.10402995</v>
      </c>
      <c r="DN60" s="348">
        <f t="shared" si="50"/>
        <v>0</v>
      </c>
      <c r="DO60" s="348">
        <f t="shared" si="50"/>
        <v>0</v>
      </c>
      <c r="DP60" s="348">
        <f t="shared" si="50"/>
        <v>0</v>
      </c>
      <c r="DQ60" s="345">
        <f>IF(DF$7=Hidden_Lists!$C$20,VLOOKUP(DG60,Hidden_Database!$C$11:$J$75,8,FALSE)*DI60,0)</f>
        <v>0</v>
      </c>
      <c r="DR60" s="146"/>
      <c r="DS60" s="146"/>
      <c r="DT60" s="146"/>
      <c r="DU60" s="146"/>
      <c r="DV60" s="146"/>
      <c r="DW60" s="146"/>
      <c r="DX60" s="31"/>
      <c r="DY60" s="31"/>
      <c r="DZ60" s="31"/>
      <c r="EA60" s="31"/>
      <c r="EB60" s="31"/>
      <c r="EC60" s="31"/>
      <c r="ED60" s="31"/>
      <c r="EE60" s="31"/>
      <c r="EF60" s="146"/>
      <c r="EG60" s="146"/>
      <c r="EH60" s="146"/>
      <c r="EI60" s="146"/>
      <c r="EJ60" s="146"/>
      <c r="EK60" s="146"/>
      <c r="EL60" s="146"/>
      <c r="EM60" s="146"/>
      <c r="EN60" s="146"/>
      <c r="EO60" s="146"/>
      <c r="EP60" s="146"/>
      <c r="EQ60" s="146"/>
      <c r="ER60" s="146"/>
      <c r="ES60" s="146"/>
      <c r="ET60" s="146"/>
      <c r="EU60" s="146"/>
      <c r="EV60" s="146"/>
      <c r="EW60" s="146"/>
      <c r="EX60" s="146"/>
      <c r="EY60" s="146"/>
      <c r="EZ60" s="146"/>
      <c r="FA60" s="146"/>
      <c r="FB60" s="146"/>
      <c r="FC60" s="146"/>
    </row>
    <row r="61" spans="1:159" ht="15" customHeight="1">
      <c r="B61" s="90" t="str">
        <f>B37</f>
        <v>Vehicle 4</v>
      </c>
      <c r="C61" s="309" t="str">
        <f>VLOOKUP(C37,Hidden_Lists!$D$56:$E$58,2,FALSE)</f>
        <v/>
      </c>
      <c r="D61" s="90" t="str">
        <f>Hidden_Database!$C$66</f>
        <v>Diesel</v>
      </c>
      <c r="E61" s="309">
        <f>+IF(C61=Hidden_Lists!$C$73,VLOOKUP(C$9,Hidden_Lists!$C$75:$D$120,2,FALSE),IF(C61=Hidden_Lists!$E$73,VLOOKUP(Hidden_Calculation!C$9,Hidden_Lists!$E$75:$F$120,2,FALSE),VLOOKUP(Hidden_Calculation!C$9,Hidden_Lists!$G$75:$H$120,2,FALSE)))</f>
        <v>3</v>
      </c>
      <c r="F61" s="346">
        <f>IF(C$7=Hidden_Lists!$C$19,0,E61*E37*VLOOKUP(D61,Hidden_Lists!$D$59:$F$60,3,FALSE))</f>
        <v>0</v>
      </c>
      <c r="G61" s="90"/>
      <c r="H61" s="320">
        <f>VLOOKUP($D61,Hidden_Database!$C$11:$I$75,4,FALSE)</f>
        <v>0.44397149000000002</v>
      </c>
      <c r="I61" s="320">
        <f>VLOOKUP($D61,Hidden_Database!$C$11:$I$75,5,FALSE)</f>
        <v>52.719065999999998</v>
      </c>
      <c r="J61" s="321">
        <f>VLOOKUP($D61,Hidden_Database!$C$11:$I$75,6,FALSE)</f>
        <v>0.10402995</v>
      </c>
      <c r="K61" s="348">
        <f t="shared" si="44"/>
        <v>0</v>
      </c>
      <c r="L61" s="348">
        <f t="shared" si="44"/>
        <v>0</v>
      </c>
      <c r="M61" s="348">
        <f t="shared" si="44"/>
        <v>0</v>
      </c>
      <c r="N61" s="345">
        <f>IF(C$7=Hidden_Lists!$C$20,VLOOKUP(D61,Hidden_Database!$C$11:$J$75,8,FALSE)*F61,0)</f>
        <v>0</v>
      </c>
      <c r="O61" s="93"/>
      <c r="AC61" s="93"/>
      <c r="AD61" s="90" t="str">
        <f t="shared" si="45"/>
        <v>Vehicle 4</v>
      </c>
      <c r="AE61" s="309" t="str">
        <f>IF(AE37&lt;&gt;0,VLOOKUP(AE37,Hidden_Lists!$D$56:$E$58,2,FALSE),"")</f>
        <v/>
      </c>
      <c r="AF61" s="143" t="str">
        <f t="shared" si="51"/>
        <v>Diesel</v>
      </c>
      <c r="AG61" s="312">
        <f>+IF(AE61=Hidden_Lists!$C$73,VLOOKUP(AE$9,Hidden_Lists!$C$75:$D$120,2,FALSE),IF(AE61=Hidden_Lists!$E$73,VLOOKUP(Hidden_Calculation!AE$9,Hidden_Lists!$E$75:$F$120,2,FALSE),VLOOKUP(Hidden_Calculation!AE$9,Hidden_Lists!$G$75:$H$120,2,FALSE)))</f>
        <v>3</v>
      </c>
      <c r="AH61" s="347">
        <f>IF(AE$7=Hidden_Lists!$C$19,0,AG61*AG37*VLOOKUP(AF61,Hidden_Lists!$D$59:$F$60,3,FALSE))</f>
        <v>0</v>
      </c>
      <c r="AI61" s="143"/>
      <c r="AJ61" s="320">
        <f>VLOOKUP($AF61,Hidden_Database!$C$11:$I$75,4,FALSE)</f>
        <v>0.44397149000000002</v>
      </c>
      <c r="AK61" s="320">
        <f>VLOOKUP($AF61,Hidden_Database!$C$11:$I$75,5,FALSE)</f>
        <v>52.719065999999998</v>
      </c>
      <c r="AL61" s="321">
        <f>VLOOKUP($AF61,Hidden_Database!$C$11:$I$75,6,FALSE)</f>
        <v>0.10402995</v>
      </c>
      <c r="AM61" s="348">
        <f t="shared" si="46"/>
        <v>0</v>
      </c>
      <c r="AN61" s="348">
        <f t="shared" si="46"/>
        <v>0</v>
      </c>
      <c r="AO61" s="348">
        <f t="shared" si="46"/>
        <v>0</v>
      </c>
      <c r="AP61" s="345">
        <f>IF(AE$7=Hidden_Lists!$C$20,VLOOKUP(AF61,Hidden_Database!$C$11:$J$75,8,FALSE)*AH61,0)</f>
        <v>0</v>
      </c>
      <c r="AQ61" s="146"/>
      <c r="AR61" s="142"/>
      <c r="AS61" s="146"/>
      <c r="AT61" s="146"/>
      <c r="AU61" s="146"/>
      <c r="AV61" s="146"/>
      <c r="AW61" s="146"/>
      <c r="AX61" s="146"/>
      <c r="AY61" s="146"/>
      <c r="AZ61" s="146"/>
      <c r="BA61" s="146"/>
      <c r="BB61" s="146"/>
      <c r="BC61" s="146"/>
      <c r="BD61" s="62"/>
      <c r="BE61" s="51"/>
      <c r="BF61" s="51"/>
      <c r="BG61" s="51"/>
      <c r="BH61" s="51"/>
      <c r="BI61" s="51"/>
      <c r="BJ61" s="62"/>
      <c r="BK61" s="62"/>
      <c r="BL61" s="111"/>
      <c r="BM61" s="111"/>
      <c r="BN61" s="111"/>
      <c r="BO61" s="146"/>
      <c r="BP61" s="146"/>
      <c r="BQ61" s="146"/>
      <c r="BR61" s="146"/>
      <c r="BS61" s="146"/>
      <c r="BT61" s="146"/>
      <c r="BU61" s="146"/>
      <c r="BV61" s="146"/>
      <c r="BW61" s="146"/>
      <c r="BX61" s="146"/>
      <c r="BY61" s="146"/>
      <c r="BZ61" s="146"/>
      <c r="CA61" s="146"/>
      <c r="CB61" s="142"/>
      <c r="CC61" s="143" t="str">
        <f t="shared" si="47"/>
        <v>Vehicle 4</v>
      </c>
      <c r="CD61" s="312" t="str">
        <f>IF(CD37&lt;&gt;0,VLOOKUP(CD37,Hidden_Lists!$D$56:$E$58,2,FALSE),"")</f>
        <v/>
      </c>
      <c r="CE61" s="143" t="str">
        <f>D61</f>
        <v>Diesel</v>
      </c>
      <c r="CF61" s="312">
        <f>+IF(CD61=Hidden_Lists!$C$73,VLOOKUP(CD$9,Hidden_Lists!$C$75:$D$120,2,FALSE),IF(CD61=Hidden_Lists!$E$73,VLOOKUP(Hidden_Calculation!CD$9,Hidden_Lists!$E$75:$F$120,2,FALSE),VLOOKUP(Hidden_Calculation!CD$9,Hidden_Lists!$G$75:$H$120,2,FALSE)))</f>
        <v>3</v>
      </c>
      <c r="CG61" s="347">
        <f>IF(CD$7=Hidden_Lists!$C$19,0,CF61*CF37*VLOOKUP(CE61,Hidden_Lists!$D$59:$F$60,3,FALSE))</f>
        <v>0</v>
      </c>
      <c r="CH61" s="143"/>
      <c r="CI61" s="320">
        <f>VLOOKUP($CE61,Hidden_Database!$C$11:$I$75,4,FALSE)</f>
        <v>0.44397149000000002</v>
      </c>
      <c r="CJ61" s="320">
        <f>VLOOKUP($CE61,Hidden_Database!$C$11:$I$75,5,FALSE)</f>
        <v>52.719065999999998</v>
      </c>
      <c r="CK61" s="321">
        <f>VLOOKUP($CE61,Hidden_Database!$C$11:$I$75,6,FALSE)</f>
        <v>0.10402995</v>
      </c>
      <c r="CL61" s="348">
        <f t="shared" si="48"/>
        <v>0</v>
      </c>
      <c r="CM61" s="348">
        <f t="shared" si="48"/>
        <v>0</v>
      </c>
      <c r="CN61" s="348">
        <f t="shared" si="48"/>
        <v>0</v>
      </c>
      <c r="CO61" s="345">
        <f>IF(CD$7=Hidden_Lists!$C$20,VLOOKUP(CE61,Hidden_Database!$C$11:$J$75,8,FALSE)*CG61,0)</f>
        <v>0</v>
      </c>
      <c r="CP61" s="146"/>
      <c r="CQ61" s="146"/>
      <c r="CR61" s="142"/>
      <c r="CS61" s="146"/>
      <c r="CT61" s="146"/>
      <c r="CU61" s="146"/>
      <c r="CV61" s="146"/>
      <c r="CW61" s="146"/>
      <c r="CX61" s="146"/>
      <c r="CY61" s="146"/>
      <c r="CZ61" s="146"/>
      <c r="DA61" s="146"/>
      <c r="DB61" s="146"/>
      <c r="DC61" s="146"/>
      <c r="DD61" s="146"/>
      <c r="DE61" s="143" t="str">
        <f t="shared" si="49"/>
        <v>Vehicle 4</v>
      </c>
      <c r="DF61" s="312" t="str">
        <f>IF(DF37&lt;&gt;0,VLOOKUP(DF37,Hidden_Lists!$D$56:$E$58,2,FALSE),"")</f>
        <v/>
      </c>
      <c r="DG61" s="143" t="str">
        <f>D61</f>
        <v>Diesel</v>
      </c>
      <c r="DH61" s="312">
        <f>+IF(DF61=Hidden_Lists!$C$73,VLOOKUP(DF$9,Hidden_Lists!$C$75:$D$120,2,FALSE),IF(DF61=Hidden_Lists!$E$73,VLOOKUP(Hidden_Calculation!DF$9,Hidden_Lists!$E$75:$F$120,2,FALSE),VLOOKUP(Hidden_Calculation!DF$9,Hidden_Lists!$G$75:$H$120,2,FALSE)))</f>
        <v>3</v>
      </c>
      <c r="DI61" s="347">
        <f>IF(DF$7=Hidden_Lists!$C$19,0,DH61*DH37*VLOOKUP(DG61,Hidden_Lists!$D$59:$F$60,3,FALSE))</f>
        <v>0</v>
      </c>
      <c r="DJ61" s="143"/>
      <c r="DK61" s="320">
        <f>VLOOKUP($DG61,Hidden_Database!$C$11:$I$75,4,FALSE)</f>
        <v>0.44397149000000002</v>
      </c>
      <c r="DL61" s="320">
        <f>VLOOKUP($DG61,Hidden_Database!$C$11:$I$75,5,FALSE)</f>
        <v>52.719065999999998</v>
      </c>
      <c r="DM61" s="321">
        <f>VLOOKUP($DG61,Hidden_Database!$C$11:$I$75,6,FALSE)</f>
        <v>0.10402995</v>
      </c>
      <c r="DN61" s="348">
        <f t="shared" si="50"/>
        <v>0</v>
      </c>
      <c r="DO61" s="348">
        <f t="shared" si="50"/>
        <v>0</v>
      </c>
      <c r="DP61" s="348">
        <f t="shared" si="50"/>
        <v>0</v>
      </c>
      <c r="DQ61" s="345">
        <f>IF(DF$7=Hidden_Lists!$C$20,VLOOKUP(DG61,Hidden_Database!$C$11:$J$75,8,FALSE)*DI61,0)</f>
        <v>0</v>
      </c>
      <c r="DR61" s="146"/>
      <c r="DS61" s="146"/>
      <c r="DT61" s="146"/>
      <c r="DU61" s="146"/>
      <c r="DV61" s="146"/>
      <c r="DW61" s="146"/>
      <c r="DX61" s="146"/>
      <c r="DY61" s="146"/>
      <c r="DZ61" s="146"/>
      <c r="EA61" s="146"/>
      <c r="EB61" s="146"/>
      <c r="EC61" s="146"/>
      <c r="ED61" s="146"/>
      <c r="EE61" s="146"/>
      <c r="EF61" s="146"/>
      <c r="EG61" s="146"/>
      <c r="EH61" s="146"/>
      <c r="EI61" s="146"/>
      <c r="EJ61" s="146"/>
      <c r="EK61" s="146"/>
      <c r="EL61" s="146"/>
      <c r="EM61" s="146"/>
      <c r="EN61" s="146"/>
      <c r="EO61" s="146"/>
      <c r="EP61" s="146"/>
      <c r="EQ61" s="146"/>
      <c r="ER61" s="146"/>
      <c r="ES61" s="146"/>
      <c r="ET61" s="146"/>
      <c r="EU61" s="146"/>
      <c r="EV61" s="146"/>
      <c r="EW61" s="146"/>
      <c r="EX61" s="146"/>
      <c r="EY61" s="146"/>
      <c r="EZ61" s="146"/>
      <c r="FA61" s="146"/>
      <c r="FB61" s="146"/>
      <c r="FC61" s="146"/>
    </row>
    <row r="62" spans="1:159" ht="15" customHeight="1">
      <c r="B62" s="90" t="str">
        <f>B38</f>
        <v>Vehicle 5</v>
      </c>
      <c r="C62" s="309" t="str">
        <f>VLOOKUP(C38,Hidden_Lists!$D$56:$E$58,2,FALSE)</f>
        <v/>
      </c>
      <c r="D62" s="90" t="str">
        <f>Hidden_Database!$C$66</f>
        <v>Diesel</v>
      </c>
      <c r="E62" s="309">
        <f>+IF(C62=Hidden_Lists!$C$73,VLOOKUP(C$9,Hidden_Lists!$C$75:$D$120,2,FALSE),IF(C62=Hidden_Lists!$E$73,VLOOKUP(Hidden_Calculation!C$9,Hidden_Lists!$E$75:$F$120,2,FALSE),VLOOKUP(Hidden_Calculation!C$9,Hidden_Lists!$G$75:$H$120,2,FALSE)))</f>
        <v>3</v>
      </c>
      <c r="F62" s="346">
        <f>IF(C$7=Hidden_Lists!$C$19,0,E62*E38*VLOOKUP(D62,Hidden_Lists!$D$59:$F$60,3,FALSE))</f>
        <v>0</v>
      </c>
      <c r="G62" s="90"/>
      <c r="H62" s="320">
        <f>VLOOKUP($D62,Hidden_Database!$C$11:$I$75,4,FALSE)</f>
        <v>0.44397149000000002</v>
      </c>
      <c r="I62" s="320">
        <f>VLOOKUP($D62,Hidden_Database!$C$11:$I$75,5,FALSE)</f>
        <v>52.719065999999998</v>
      </c>
      <c r="J62" s="321">
        <f>VLOOKUP($D62,Hidden_Database!$C$11:$I$75,6,FALSE)</f>
        <v>0.10402995</v>
      </c>
      <c r="K62" s="348">
        <f t="shared" si="44"/>
        <v>0</v>
      </c>
      <c r="L62" s="348">
        <f t="shared" si="44"/>
        <v>0</v>
      </c>
      <c r="M62" s="348">
        <f t="shared" si="44"/>
        <v>0</v>
      </c>
      <c r="N62" s="345">
        <f>IF(C$7=Hidden_Lists!$C$20,VLOOKUP(D62,Hidden_Database!$C$11:$J$75,8,FALSE)*F62,0)</f>
        <v>0</v>
      </c>
      <c r="O62" s="93"/>
      <c r="AC62" s="93"/>
      <c r="AD62" s="90" t="str">
        <f t="shared" si="45"/>
        <v>Vehicle 5</v>
      </c>
      <c r="AE62" s="309" t="str">
        <f>IF(AE38&lt;&gt;0,VLOOKUP(AE38,Hidden_Lists!$D$56:$E$58,2,FALSE),"")</f>
        <v/>
      </c>
      <c r="AF62" s="143" t="str">
        <f t="shared" si="51"/>
        <v>Diesel</v>
      </c>
      <c r="AG62" s="312">
        <f>+IF(AE62=Hidden_Lists!$C$73,VLOOKUP(AE$9,Hidden_Lists!$C$75:$D$120,2,FALSE),IF(AE62=Hidden_Lists!$E$73,VLOOKUP(Hidden_Calculation!AE$9,Hidden_Lists!$E$75:$F$120,2,FALSE),VLOOKUP(Hidden_Calculation!AE$9,Hidden_Lists!$G$75:$H$120,2,FALSE)))</f>
        <v>3</v>
      </c>
      <c r="AH62" s="347">
        <f>IF(AE$7=Hidden_Lists!$C$19,0,AG62*AG38*VLOOKUP(AF62,Hidden_Lists!$D$59:$F$60,3,FALSE))</f>
        <v>0</v>
      </c>
      <c r="AI62" s="143"/>
      <c r="AJ62" s="320">
        <f>VLOOKUP($AF62,Hidden_Database!$C$11:$I$75,4,FALSE)</f>
        <v>0.44397149000000002</v>
      </c>
      <c r="AK62" s="320">
        <f>VLOOKUP($AF62,Hidden_Database!$C$11:$I$75,5,FALSE)</f>
        <v>52.719065999999998</v>
      </c>
      <c r="AL62" s="321">
        <f>VLOOKUP($AF62,Hidden_Database!$C$11:$I$75,6,FALSE)</f>
        <v>0.10402995</v>
      </c>
      <c r="AM62" s="348">
        <f t="shared" si="46"/>
        <v>0</v>
      </c>
      <c r="AN62" s="348">
        <f t="shared" si="46"/>
        <v>0</v>
      </c>
      <c r="AO62" s="348">
        <f t="shared" si="46"/>
        <v>0</v>
      </c>
      <c r="AP62" s="345">
        <f>IF(AE$7=Hidden_Lists!$C$20,VLOOKUP(AF62,Hidden_Database!$C$11:$J$75,8,FALSE)*AH62,0)</f>
        <v>0</v>
      </c>
      <c r="AQ62" s="146"/>
      <c r="AR62" s="142"/>
      <c r="AS62" s="146"/>
      <c r="AT62" s="146"/>
      <c r="AU62" s="146"/>
      <c r="AV62" s="146"/>
      <c r="AW62" s="146"/>
      <c r="AX62" s="146"/>
      <c r="AY62" s="146"/>
      <c r="AZ62" s="146"/>
      <c r="BA62" s="146"/>
      <c r="BB62" s="146"/>
      <c r="BC62" s="146"/>
      <c r="BD62" s="64"/>
      <c r="BE62" s="51"/>
      <c r="BF62" s="51"/>
      <c r="BG62" s="51"/>
      <c r="BH62" s="51"/>
      <c r="BI62" s="51"/>
      <c r="BJ62" s="62"/>
      <c r="BK62" s="62"/>
      <c r="BL62" s="111"/>
      <c r="BM62" s="111"/>
      <c r="BN62" s="111"/>
      <c r="BO62" s="146"/>
      <c r="BP62" s="146"/>
      <c r="BQ62" s="146"/>
      <c r="BR62" s="146"/>
      <c r="BS62" s="146"/>
      <c r="BT62" s="146"/>
      <c r="BU62" s="146"/>
      <c r="BV62" s="146"/>
      <c r="BW62" s="146"/>
      <c r="BX62" s="146"/>
      <c r="BY62" s="146"/>
      <c r="BZ62" s="146"/>
      <c r="CA62" s="146"/>
      <c r="CB62" s="142"/>
      <c r="CC62" s="143" t="str">
        <f t="shared" si="47"/>
        <v>Vehicle 5</v>
      </c>
      <c r="CD62" s="312" t="str">
        <f>IF(CD38&lt;&gt;0,VLOOKUP(CD38,Hidden_Lists!$D$56:$E$58,2,FALSE),"")</f>
        <v/>
      </c>
      <c r="CE62" s="143" t="str">
        <f>D62</f>
        <v>Diesel</v>
      </c>
      <c r="CF62" s="312">
        <f>+IF(CD62=Hidden_Lists!$C$73,VLOOKUP(CD$9,Hidden_Lists!$C$75:$D$120,2,FALSE),IF(CD62=Hidden_Lists!$E$73,VLOOKUP(Hidden_Calculation!CD$9,Hidden_Lists!$E$75:$F$120,2,FALSE),VLOOKUP(Hidden_Calculation!CD$9,Hidden_Lists!$G$75:$H$120,2,FALSE)))</f>
        <v>3</v>
      </c>
      <c r="CG62" s="347">
        <f>IF(CD$7=Hidden_Lists!$C$19,0,CF62*CF38*VLOOKUP(CE62,Hidden_Lists!$D$59:$F$60,3,FALSE))</f>
        <v>0</v>
      </c>
      <c r="CH62" s="143"/>
      <c r="CI62" s="320">
        <f>VLOOKUP($CE62,Hidden_Database!$C$11:$I$75,4,FALSE)</f>
        <v>0.44397149000000002</v>
      </c>
      <c r="CJ62" s="320">
        <f>VLOOKUP($CE62,Hidden_Database!$C$11:$I$75,5,FALSE)</f>
        <v>52.719065999999998</v>
      </c>
      <c r="CK62" s="321">
        <f>VLOOKUP($CE62,Hidden_Database!$C$11:$I$75,6,FALSE)</f>
        <v>0.10402995</v>
      </c>
      <c r="CL62" s="348">
        <f t="shared" si="48"/>
        <v>0</v>
      </c>
      <c r="CM62" s="348">
        <f t="shared" si="48"/>
        <v>0</v>
      </c>
      <c r="CN62" s="348">
        <f t="shared" si="48"/>
        <v>0</v>
      </c>
      <c r="CO62" s="345">
        <f>IF(CD$7=Hidden_Lists!$C$20,VLOOKUP(CE62,Hidden_Database!$C$11:$J$75,8,FALSE)*CG62,0)</f>
        <v>0</v>
      </c>
      <c r="CP62" s="146"/>
      <c r="CQ62" s="146"/>
      <c r="CR62" s="142"/>
      <c r="CS62" s="146"/>
      <c r="CT62" s="146"/>
      <c r="CU62" s="146"/>
      <c r="CV62" s="146"/>
      <c r="CW62" s="146"/>
      <c r="CX62" s="146"/>
      <c r="CY62" s="146"/>
      <c r="CZ62" s="146"/>
      <c r="DA62" s="146"/>
      <c r="DB62" s="146"/>
      <c r="DC62" s="146"/>
      <c r="DD62" s="146"/>
      <c r="DE62" s="143" t="str">
        <f t="shared" si="49"/>
        <v>Vehicle 5</v>
      </c>
      <c r="DF62" s="312" t="str">
        <f>IF(DF38&lt;&gt;0,VLOOKUP(DF38,Hidden_Lists!$D$56:$E$58,2,FALSE),"")</f>
        <v/>
      </c>
      <c r="DG62" s="143" t="str">
        <f>D62</f>
        <v>Diesel</v>
      </c>
      <c r="DH62" s="312">
        <f>+IF(DF62=Hidden_Lists!$C$73,VLOOKUP(DF$9,Hidden_Lists!$C$75:$D$120,2,FALSE),IF(DF62=Hidden_Lists!$E$73,VLOOKUP(Hidden_Calculation!DF$9,Hidden_Lists!$E$75:$F$120,2,FALSE),VLOOKUP(Hidden_Calculation!DF$9,Hidden_Lists!$G$75:$H$120,2,FALSE)))</f>
        <v>3</v>
      </c>
      <c r="DI62" s="347">
        <f>IF(DF$7=Hidden_Lists!$C$19,0,DH62*DH38*VLOOKUP(DG62,Hidden_Lists!$D$59:$F$60,3,FALSE))</f>
        <v>0</v>
      </c>
      <c r="DJ62" s="143"/>
      <c r="DK62" s="320">
        <f>VLOOKUP($DG62,Hidden_Database!$C$11:$I$75,4,FALSE)</f>
        <v>0.44397149000000002</v>
      </c>
      <c r="DL62" s="320">
        <f>VLOOKUP($DG62,Hidden_Database!$C$11:$I$75,5,FALSE)</f>
        <v>52.719065999999998</v>
      </c>
      <c r="DM62" s="321">
        <f>VLOOKUP($DG62,Hidden_Database!$C$11:$I$75,6,FALSE)</f>
        <v>0.10402995</v>
      </c>
      <c r="DN62" s="348">
        <f t="shared" si="50"/>
        <v>0</v>
      </c>
      <c r="DO62" s="348">
        <f t="shared" si="50"/>
        <v>0</v>
      </c>
      <c r="DP62" s="348">
        <f t="shared" si="50"/>
        <v>0</v>
      </c>
      <c r="DQ62" s="345">
        <f>IF(DF$7=Hidden_Lists!$C$20,VLOOKUP(DG62,Hidden_Database!$C$11:$J$75,8,FALSE)*DI62,0)</f>
        <v>0</v>
      </c>
      <c r="DR62" s="146"/>
      <c r="DS62" s="146"/>
      <c r="DT62" s="146"/>
      <c r="DU62" s="146"/>
      <c r="DV62" s="146"/>
      <c r="DW62" s="146"/>
      <c r="DX62" s="146"/>
      <c r="DY62" s="146"/>
      <c r="DZ62" s="146"/>
      <c r="EA62" s="146"/>
      <c r="EB62" s="146"/>
      <c r="EC62" s="146"/>
      <c r="ED62" s="146"/>
      <c r="EE62" s="146"/>
      <c r="EF62" s="146"/>
      <c r="EG62" s="146"/>
      <c r="EH62" s="146"/>
      <c r="EI62" s="146"/>
      <c r="EJ62" s="146"/>
      <c r="EK62" s="146"/>
      <c r="EL62" s="146"/>
      <c r="EM62" s="146"/>
      <c r="EN62" s="146"/>
      <c r="EO62" s="146"/>
      <c r="EP62" s="146"/>
      <c r="EQ62" s="146"/>
      <c r="ER62" s="146"/>
      <c r="ES62" s="146"/>
      <c r="ET62" s="146"/>
      <c r="EU62" s="146"/>
      <c r="EV62" s="146"/>
      <c r="EW62" s="146"/>
      <c r="EX62" s="146"/>
      <c r="EY62" s="146"/>
      <c r="EZ62" s="146"/>
      <c r="FA62" s="146"/>
      <c r="FB62" s="146"/>
      <c r="FC62" s="146"/>
    </row>
    <row r="63" spans="1:159" ht="15" customHeight="1">
      <c r="O63" s="93"/>
      <c r="AC63" s="93"/>
      <c r="AF63" s="146"/>
      <c r="AG63" s="146"/>
      <c r="AH63" s="146"/>
      <c r="AI63" s="146"/>
      <c r="AJ63" s="146"/>
      <c r="AK63" s="146"/>
      <c r="AL63" s="146"/>
      <c r="AM63" s="146"/>
      <c r="AN63" s="146"/>
      <c r="AO63" s="146"/>
      <c r="AP63" s="146"/>
      <c r="AQ63" s="146"/>
      <c r="AR63" s="142"/>
      <c r="AS63" s="146"/>
      <c r="AT63" s="146"/>
      <c r="AU63" s="146"/>
      <c r="AV63" s="146"/>
      <c r="AW63" s="146"/>
      <c r="AX63" s="146"/>
      <c r="AY63" s="146"/>
      <c r="AZ63" s="146"/>
      <c r="BA63" s="146"/>
      <c r="BB63" s="146"/>
      <c r="BC63" s="146"/>
      <c r="BD63" s="64"/>
      <c r="BE63" s="51"/>
      <c r="BF63" s="51"/>
      <c r="BG63" s="51"/>
      <c r="BH63" s="51"/>
      <c r="BI63" s="51"/>
      <c r="BJ63" s="62"/>
      <c r="BK63" s="62"/>
      <c r="BL63" s="111"/>
      <c r="BM63" s="111"/>
      <c r="BN63" s="104"/>
      <c r="BO63" s="146"/>
      <c r="BP63" s="146"/>
      <c r="BQ63" s="146"/>
      <c r="BR63" s="146"/>
      <c r="BS63" s="146"/>
      <c r="BT63" s="146"/>
      <c r="BU63" s="146"/>
      <c r="BV63" s="146"/>
      <c r="BW63" s="146"/>
      <c r="BX63" s="146"/>
      <c r="BY63" s="146"/>
      <c r="BZ63" s="146"/>
      <c r="CA63" s="146"/>
      <c r="CB63" s="142"/>
      <c r="CC63" s="146"/>
      <c r="CD63" s="142"/>
      <c r="CE63" s="146"/>
      <c r="CF63" s="146"/>
      <c r="CG63" s="146"/>
      <c r="CH63" s="146"/>
      <c r="CI63" s="146"/>
      <c r="CJ63" s="146"/>
      <c r="CK63" s="146"/>
      <c r="CL63" s="146"/>
      <c r="CM63" s="146"/>
      <c r="CN63" s="146"/>
      <c r="CO63" s="146"/>
      <c r="CP63" s="146"/>
      <c r="CQ63" s="146"/>
      <c r="CR63" s="142"/>
      <c r="CS63" s="146"/>
      <c r="CT63" s="146"/>
      <c r="CU63" s="146"/>
      <c r="CV63" s="146"/>
      <c r="CW63" s="146"/>
      <c r="CX63" s="146"/>
      <c r="CY63" s="146"/>
      <c r="CZ63" s="146"/>
      <c r="DA63" s="146"/>
      <c r="DB63" s="146"/>
      <c r="DC63" s="146"/>
      <c r="DD63" s="146"/>
      <c r="DE63" s="146"/>
      <c r="DF63" s="142"/>
      <c r="DG63" s="146"/>
      <c r="DH63" s="146"/>
      <c r="DI63" s="146"/>
      <c r="DJ63" s="146"/>
      <c r="DK63" s="146"/>
      <c r="DL63" s="146"/>
      <c r="DM63" s="146"/>
      <c r="DN63" s="146"/>
      <c r="DO63" s="146"/>
      <c r="DP63" s="146"/>
      <c r="DQ63" s="146"/>
      <c r="DR63" s="146"/>
      <c r="DS63" s="146"/>
      <c r="DT63" s="146"/>
      <c r="DU63" s="146"/>
      <c r="DV63" s="146"/>
      <c r="DW63" s="146"/>
      <c r="DX63" s="146"/>
      <c r="DY63" s="146"/>
      <c r="DZ63" s="146"/>
      <c r="EA63" s="146"/>
      <c r="EB63" s="146"/>
      <c r="EC63" s="146"/>
      <c r="ED63" s="146"/>
      <c r="EE63" s="146"/>
      <c r="EF63" s="146"/>
      <c r="EG63" s="146"/>
      <c r="EH63" s="146"/>
      <c r="EI63" s="146"/>
      <c r="EJ63" s="146"/>
      <c r="EK63" s="146"/>
      <c r="EL63" s="146"/>
      <c r="EM63" s="146"/>
      <c r="EN63" s="146"/>
      <c r="EO63" s="146"/>
      <c r="EP63" s="146"/>
      <c r="EQ63" s="146"/>
      <c r="ER63" s="146"/>
      <c r="ES63" s="146"/>
      <c r="ET63" s="146"/>
      <c r="EU63" s="146"/>
      <c r="EV63" s="146"/>
      <c r="EW63" s="146"/>
      <c r="EX63" s="146"/>
      <c r="EY63" s="146"/>
      <c r="EZ63" s="146"/>
      <c r="FA63" s="146"/>
      <c r="FB63" s="146"/>
      <c r="FC63" s="146"/>
    </row>
    <row r="64" spans="1:159" ht="15" customHeight="1">
      <c r="B64" s="69" t="str">
        <f>VLOOKUP("Hidden_Calculation_Header_7_LCA_Refrigerant",Hidden_Translations!$B$11:$J$1184,Hidden_Translations!$C$8,FALSE)</f>
        <v>#7: LCA: Refrigerant slippage</v>
      </c>
      <c r="C64" s="70"/>
      <c r="D64" s="70"/>
      <c r="E64" s="70"/>
      <c r="F64" s="70"/>
      <c r="G64" s="70"/>
      <c r="H64" s="70"/>
      <c r="I64" s="70"/>
      <c r="J64" s="70"/>
      <c r="K64" s="69"/>
      <c r="L64" s="70"/>
      <c r="M64" s="70"/>
      <c r="N64" s="70"/>
      <c r="O64" s="142"/>
      <c r="P64" s="69" t="str">
        <f>B64</f>
        <v>#7: LCA: Refrigerant slippage</v>
      </c>
      <c r="Q64" s="70"/>
      <c r="R64" s="70"/>
      <c r="S64" s="70"/>
      <c r="T64" s="70"/>
      <c r="U64" s="70"/>
      <c r="V64" s="70"/>
      <c r="W64" s="70"/>
      <c r="X64" s="70"/>
      <c r="Y64" s="70"/>
      <c r="Z64" s="69"/>
      <c r="AA64" s="70"/>
      <c r="AB64" s="70"/>
      <c r="AC64" s="93"/>
      <c r="AD64" s="69" t="str">
        <f>B64</f>
        <v>#7: LCA: Refrigerant slippage</v>
      </c>
      <c r="AE64" s="70"/>
      <c r="AF64" s="180"/>
      <c r="AG64" s="180"/>
      <c r="AH64" s="180"/>
      <c r="AI64" s="180"/>
      <c r="AJ64" s="180"/>
      <c r="AK64" s="180"/>
      <c r="AL64" s="180"/>
      <c r="AM64" s="69"/>
      <c r="AN64" s="180"/>
      <c r="AO64" s="180"/>
      <c r="AP64" s="180"/>
      <c r="AQ64" s="146"/>
      <c r="AR64" s="69" t="str">
        <f>B64</f>
        <v>#7: LCA: Refrigerant slippage</v>
      </c>
      <c r="AS64" s="180"/>
      <c r="AT64" s="180"/>
      <c r="AU64" s="180"/>
      <c r="AV64" s="180"/>
      <c r="AW64" s="180"/>
      <c r="AX64" s="180"/>
      <c r="AY64" s="180"/>
      <c r="AZ64" s="180"/>
      <c r="BA64" s="69"/>
      <c r="BB64" s="180"/>
      <c r="BC64" s="180"/>
      <c r="BD64" s="62"/>
      <c r="BE64" s="69" t="str">
        <f>B64</f>
        <v>#7: LCA: Refrigerant slippage</v>
      </c>
      <c r="BF64" s="180"/>
      <c r="BG64" s="180"/>
      <c r="BH64" s="180"/>
      <c r="BI64" s="180"/>
      <c r="BJ64" s="180"/>
      <c r="BK64" s="180"/>
      <c r="BL64" s="180"/>
      <c r="BM64" s="180"/>
      <c r="BN64" s="69"/>
      <c r="BO64" s="146"/>
      <c r="BP64" s="69" t="str">
        <f>B64</f>
        <v>#7: LCA: Refrigerant slippage</v>
      </c>
      <c r="BQ64" s="180"/>
      <c r="BR64" s="180"/>
      <c r="BS64" s="180"/>
      <c r="BT64" s="180"/>
      <c r="BU64" s="180"/>
      <c r="BV64" s="180"/>
      <c r="BW64" s="180"/>
      <c r="BX64" s="180"/>
      <c r="BY64" s="69"/>
      <c r="BZ64" s="69"/>
      <c r="CA64" s="69"/>
      <c r="CB64" s="142"/>
      <c r="CC64" s="69" t="str">
        <f>B64</f>
        <v>#7: LCA: Refrigerant slippage</v>
      </c>
      <c r="CD64" s="180"/>
      <c r="CE64" s="180"/>
      <c r="CF64" s="180"/>
      <c r="CG64" s="180"/>
      <c r="CH64" s="180"/>
      <c r="CI64" s="180"/>
      <c r="CJ64" s="180"/>
      <c r="CK64" s="180"/>
      <c r="CL64" s="69"/>
      <c r="CM64" s="69"/>
      <c r="CN64" s="69"/>
      <c r="CO64" s="69"/>
      <c r="CP64" s="146"/>
      <c r="CQ64" s="69" t="str">
        <f>B64</f>
        <v>#7: LCA: Refrigerant slippage</v>
      </c>
      <c r="CR64" s="69"/>
      <c r="CS64" s="69"/>
      <c r="CT64" s="69"/>
      <c r="CU64" s="69"/>
      <c r="CV64" s="69"/>
      <c r="CW64" s="69"/>
      <c r="CX64" s="69"/>
      <c r="CY64" s="69"/>
      <c r="CZ64" s="69"/>
      <c r="DA64" s="69"/>
      <c r="DB64" s="69"/>
      <c r="DC64" s="69"/>
      <c r="DD64" s="146"/>
      <c r="DE64" s="69" t="str">
        <f>B64</f>
        <v>#7: LCA: Refrigerant slippage</v>
      </c>
      <c r="DF64" s="69"/>
      <c r="DG64" s="69"/>
      <c r="DH64" s="69"/>
      <c r="DI64" s="69"/>
      <c r="DJ64" s="69"/>
      <c r="DK64" s="69"/>
      <c r="DL64" s="69"/>
      <c r="DM64" s="69"/>
      <c r="DN64" s="69"/>
      <c r="DO64" s="69"/>
      <c r="DP64" s="69"/>
      <c r="DQ64" s="69"/>
      <c r="DR64" s="146"/>
      <c r="DS64" s="69" t="str">
        <f>B64</f>
        <v>#7: LCA: Refrigerant slippage</v>
      </c>
      <c r="DT64" s="69"/>
      <c r="DU64" s="69"/>
      <c r="DV64" s="69"/>
      <c r="DW64" s="69"/>
      <c r="DX64" s="69"/>
      <c r="DY64" s="69"/>
      <c r="DZ64" s="69"/>
      <c r="EA64" s="69"/>
      <c r="EB64" s="69"/>
      <c r="EC64" s="69"/>
      <c r="ED64" s="69"/>
      <c r="EE64" s="69"/>
      <c r="EF64" s="146"/>
      <c r="EG64" s="146"/>
      <c r="EH64" s="146"/>
      <c r="EI64" s="146"/>
      <c r="EJ64" s="146"/>
      <c r="EK64" s="146"/>
      <c r="EL64" s="146"/>
      <c r="EM64" s="146"/>
      <c r="EN64" s="146"/>
      <c r="EO64" s="146"/>
      <c r="EP64" s="146"/>
      <c r="EQ64" s="146"/>
      <c r="ER64" s="146"/>
      <c r="ES64" s="146"/>
      <c r="ET64" s="146"/>
      <c r="EU64" s="146"/>
      <c r="EV64" s="146"/>
      <c r="EW64" s="146"/>
      <c r="EX64" s="146"/>
      <c r="EY64" s="146"/>
      <c r="EZ64" s="146"/>
      <c r="FA64" s="146"/>
      <c r="FB64" s="146"/>
      <c r="FC64" s="146"/>
    </row>
    <row r="65" spans="2:159" ht="15" customHeight="1">
      <c r="B65" s="99"/>
      <c r="C65" s="140" t="str">
        <f>Input!B71</f>
        <v xml:space="preserve">Refrigerant </v>
      </c>
      <c r="D65" s="97" t="str">
        <f>Input!B72</f>
        <v>Annual initial refrigerant precharge</v>
      </c>
      <c r="E65" s="144" t="str">
        <f>VLOOKUP("Hidden_Calculation_Leakage",Hidden_Translations!$B$11:$J$1184,Hidden_Translations!$C$8,FALSE)</f>
        <v>Leakage</v>
      </c>
      <c r="F65" s="93"/>
      <c r="G65" s="93"/>
      <c r="H65" s="64" t="str">
        <f t="shared" ref="H65:N65" si="52">H32</f>
        <v>GWP</v>
      </c>
      <c r="I65" s="64" t="str">
        <f t="shared" si="52"/>
        <v>CED</v>
      </c>
      <c r="J65" s="64" t="str">
        <f t="shared" si="52"/>
        <v>AWARE</v>
      </c>
      <c r="K65" s="64" t="str">
        <f t="shared" si="52"/>
        <v>GWP</v>
      </c>
      <c r="L65" s="64" t="str">
        <f t="shared" si="52"/>
        <v>CED</v>
      </c>
      <c r="M65" s="64" t="str">
        <f t="shared" si="52"/>
        <v>AWARE</v>
      </c>
      <c r="N65" s="64" t="str">
        <f t="shared" si="52"/>
        <v>Price</v>
      </c>
      <c r="O65" s="93"/>
      <c r="P65" s="137"/>
      <c r="Q65" s="89" t="str">
        <f>C65</f>
        <v xml:space="preserve">Refrigerant </v>
      </c>
      <c r="R65" s="89" t="str">
        <f>D65</f>
        <v>Annual initial refrigerant precharge</v>
      </c>
      <c r="S65" s="89" t="str">
        <f>E65</f>
        <v>Leakage</v>
      </c>
      <c r="T65" s="89"/>
      <c r="V65" s="64" t="str">
        <f t="shared" ref="V65:AB66" si="53">H65</f>
        <v>GWP</v>
      </c>
      <c r="W65" s="64" t="str">
        <f t="shared" si="53"/>
        <v>CED</v>
      </c>
      <c r="X65" s="64" t="str">
        <f t="shared" si="53"/>
        <v>AWARE</v>
      </c>
      <c r="Y65" s="64" t="str">
        <f t="shared" si="53"/>
        <v>GWP</v>
      </c>
      <c r="Z65" s="64" t="str">
        <f t="shared" si="53"/>
        <v>CED</v>
      </c>
      <c r="AA65" s="64" t="str">
        <f t="shared" si="53"/>
        <v>AWARE</v>
      </c>
      <c r="AB65" s="64" t="str">
        <f t="shared" si="53"/>
        <v>Price</v>
      </c>
      <c r="AC65" s="93"/>
      <c r="AD65" s="99"/>
      <c r="AE65" s="140" t="str">
        <f>C65</f>
        <v xml:space="preserve">Refrigerant </v>
      </c>
      <c r="AF65" s="97" t="str">
        <f>D65</f>
        <v>Annual initial refrigerant precharge</v>
      </c>
      <c r="AG65" s="144" t="str">
        <f>E65</f>
        <v>Leakage</v>
      </c>
      <c r="AH65" s="142"/>
      <c r="AI65" s="142"/>
      <c r="AJ65" s="64" t="str">
        <f t="shared" ref="AJ65:AP66" si="54">H65</f>
        <v>GWP</v>
      </c>
      <c r="AK65" s="64" t="str">
        <f t="shared" si="54"/>
        <v>CED</v>
      </c>
      <c r="AL65" s="64" t="str">
        <f t="shared" si="54"/>
        <v>AWARE</v>
      </c>
      <c r="AM65" s="64" t="str">
        <f t="shared" si="54"/>
        <v>GWP</v>
      </c>
      <c r="AN65" s="64" t="str">
        <f t="shared" si="54"/>
        <v>CED</v>
      </c>
      <c r="AO65" s="64" t="str">
        <f t="shared" si="54"/>
        <v>AWARE</v>
      </c>
      <c r="AP65" s="64" t="str">
        <f t="shared" si="54"/>
        <v>Price</v>
      </c>
      <c r="AQ65" s="146"/>
      <c r="AR65" s="137"/>
      <c r="AS65" s="89" t="str">
        <f>Q65</f>
        <v xml:space="preserve">Refrigerant </v>
      </c>
      <c r="AT65" s="89" t="str">
        <f>R65</f>
        <v>Annual initial refrigerant precharge</v>
      </c>
      <c r="AU65" s="89" t="str">
        <f>S65</f>
        <v>Leakage</v>
      </c>
      <c r="AV65" s="89"/>
      <c r="AW65" s="146"/>
      <c r="AX65" s="64" t="str">
        <f t="shared" ref="AX65:BC66" si="55">H65</f>
        <v>GWP</v>
      </c>
      <c r="AY65" s="64" t="str">
        <f t="shared" si="55"/>
        <v>CED</v>
      </c>
      <c r="AZ65" s="64" t="str">
        <f t="shared" si="55"/>
        <v>AWARE</v>
      </c>
      <c r="BA65" s="64" t="str">
        <f t="shared" si="55"/>
        <v>GWP</v>
      </c>
      <c r="BB65" s="64" t="str">
        <f t="shared" si="55"/>
        <v>CED</v>
      </c>
      <c r="BC65" s="64" t="str">
        <f t="shared" si="55"/>
        <v>AWARE</v>
      </c>
      <c r="BD65" s="142"/>
      <c r="BE65" s="51"/>
      <c r="BF65" s="51"/>
      <c r="BG65" s="51"/>
      <c r="BH65" s="51"/>
      <c r="BI65" s="51"/>
      <c r="BJ65" s="62"/>
      <c r="BK65" s="62"/>
      <c r="BL65" s="111"/>
      <c r="BM65" s="111"/>
      <c r="BN65" s="111"/>
      <c r="BO65" s="146"/>
      <c r="BP65" s="137"/>
      <c r="BQ65" s="89" t="str">
        <f>Q65</f>
        <v xml:space="preserve">Refrigerant </v>
      </c>
      <c r="BR65" s="89" t="str">
        <f>R65</f>
        <v>Annual initial refrigerant precharge</v>
      </c>
      <c r="BS65" s="89" t="str">
        <f>S65</f>
        <v>Leakage</v>
      </c>
      <c r="BT65" s="89"/>
      <c r="BU65" s="146"/>
      <c r="BV65" s="64" t="str">
        <f t="shared" ref="BV65:CA66" si="56">H65</f>
        <v>GWP</v>
      </c>
      <c r="BW65" s="64" t="str">
        <f t="shared" si="56"/>
        <v>CED</v>
      </c>
      <c r="BX65" s="64" t="str">
        <f t="shared" si="56"/>
        <v>AWARE</v>
      </c>
      <c r="BY65" s="64" t="str">
        <f t="shared" si="56"/>
        <v>GWP</v>
      </c>
      <c r="BZ65" s="64" t="str">
        <f t="shared" si="56"/>
        <v>CED</v>
      </c>
      <c r="CA65" s="64" t="str">
        <f t="shared" si="56"/>
        <v>AWARE</v>
      </c>
      <c r="CB65" s="142"/>
      <c r="CC65" s="273"/>
      <c r="CD65" s="140" t="str">
        <f>C65</f>
        <v xml:space="preserve">Refrigerant </v>
      </c>
      <c r="CE65" s="97" t="str">
        <f>D65</f>
        <v>Annual initial refrigerant precharge</v>
      </c>
      <c r="CF65" s="144" t="str">
        <f>E65</f>
        <v>Leakage</v>
      </c>
      <c r="CG65" s="142"/>
      <c r="CH65" s="142"/>
      <c r="CI65" s="64" t="str">
        <f t="shared" ref="CI65:CO66" si="57">H65</f>
        <v>GWP</v>
      </c>
      <c r="CJ65" s="64" t="str">
        <f t="shared" si="57"/>
        <v>CED</v>
      </c>
      <c r="CK65" s="64" t="str">
        <f t="shared" si="57"/>
        <v>AWARE</v>
      </c>
      <c r="CL65" s="64" t="str">
        <f t="shared" si="57"/>
        <v>GWP</v>
      </c>
      <c r="CM65" s="64" t="str">
        <f t="shared" si="57"/>
        <v>CED</v>
      </c>
      <c r="CN65" s="64" t="str">
        <f t="shared" si="57"/>
        <v>AWARE</v>
      </c>
      <c r="CO65" s="64" t="str">
        <f t="shared" si="57"/>
        <v>Price</v>
      </c>
      <c r="CP65" s="146"/>
      <c r="CQ65" s="137"/>
      <c r="CR65" s="89" t="str">
        <f>Q65</f>
        <v xml:space="preserve">Refrigerant </v>
      </c>
      <c r="CS65" s="89" t="str">
        <f>R65</f>
        <v>Annual initial refrigerant precharge</v>
      </c>
      <c r="CT65" s="89" t="str">
        <f>S65</f>
        <v>Leakage</v>
      </c>
      <c r="CU65" s="89"/>
      <c r="CV65" s="146"/>
      <c r="CW65" s="64" t="str">
        <f t="shared" ref="CW65:DC66" si="58">V65</f>
        <v>GWP</v>
      </c>
      <c r="CX65" s="64" t="str">
        <f t="shared" si="58"/>
        <v>CED</v>
      </c>
      <c r="CY65" s="64" t="str">
        <f t="shared" si="58"/>
        <v>AWARE</v>
      </c>
      <c r="CZ65" s="64" t="str">
        <f t="shared" si="58"/>
        <v>GWP</v>
      </c>
      <c r="DA65" s="64" t="str">
        <f t="shared" si="58"/>
        <v>CED</v>
      </c>
      <c r="DB65" s="64" t="str">
        <f t="shared" si="58"/>
        <v>AWARE</v>
      </c>
      <c r="DC65" s="64" t="str">
        <f t="shared" si="58"/>
        <v>Price</v>
      </c>
      <c r="DD65" s="146"/>
      <c r="DE65" s="273"/>
      <c r="DF65" s="140" t="str">
        <f>C65</f>
        <v xml:space="preserve">Refrigerant </v>
      </c>
      <c r="DG65" s="97" t="str">
        <f>D65</f>
        <v>Annual initial refrigerant precharge</v>
      </c>
      <c r="DH65" s="144" t="str">
        <f>E65</f>
        <v>Leakage</v>
      </c>
      <c r="DI65" s="142"/>
      <c r="DJ65" s="142"/>
      <c r="DK65" s="64" t="str">
        <f t="shared" ref="DK65:DQ66" si="59">H65</f>
        <v>GWP</v>
      </c>
      <c r="DL65" s="64" t="str">
        <f t="shared" si="59"/>
        <v>CED</v>
      </c>
      <c r="DM65" s="64" t="str">
        <f t="shared" si="59"/>
        <v>AWARE</v>
      </c>
      <c r="DN65" s="64" t="str">
        <f t="shared" si="59"/>
        <v>GWP</v>
      </c>
      <c r="DO65" s="64" t="str">
        <f t="shared" si="59"/>
        <v>CED</v>
      </c>
      <c r="DP65" s="64" t="str">
        <f t="shared" si="59"/>
        <v>AWARE</v>
      </c>
      <c r="DQ65" s="64" t="str">
        <f t="shared" si="59"/>
        <v>Price</v>
      </c>
      <c r="DR65" s="146"/>
      <c r="DS65" s="137"/>
      <c r="DT65" s="89" t="str">
        <f>Q65</f>
        <v xml:space="preserve">Refrigerant </v>
      </c>
      <c r="DU65" s="89" t="str">
        <f>R65</f>
        <v>Annual initial refrigerant precharge</v>
      </c>
      <c r="DV65" s="89" t="str">
        <f>S65</f>
        <v>Leakage</v>
      </c>
      <c r="DW65" s="89"/>
      <c r="DX65" s="89"/>
      <c r="DY65" s="64" t="str">
        <f t="shared" ref="DY65:EE66" si="60">H65</f>
        <v>GWP</v>
      </c>
      <c r="DZ65" s="64" t="str">
        <f t="shared" si="60"/>
        <v>CED</v>
      </c>
      <c r="EA65" s="64" t="str">
        <f t="shared" si="60"/>
        <v>AWARE</v>
      </c>
      <c r="EB65" s="64" t="str">
        <f t="shared" si="60"/>
        <v>GWP</v>
      </c>
      <c r="EC65" s="64" t="str">
        <f t="shared" si="60"/>
        <v>CED</v>
      </c>
      <c r="ED65" s="64" t="str">
        <f t="shared" si="60"/>
        <v>AWARE</v>
      </c>
      <c r="EE65" s="64" t="str">
        <f t="shared" si="60"/>
        <v>Price</v>
      </c>
      <c r="EF65" s="146"/>
      <c r="EG65" s="146"/>
      <c r="EH65" s="146"/>
      <c r="EI65" s="146"/>
      <c r="EJ65" s="146"/>
      <c r="EK65" s="146"/>
      <c r="EL65" s="146"/>
      <c r="EM65" s="146"/>
      <c r="EN65" s="146"/>
      <c r="EO65" s="146"/>
      <c r="EP65" s="146"/>
      <c r="EQ65" s="146"/>
      <c r="ER65" s="146"/>
      <c r="ES65" s="146"/>
      <c r="ET65" s="146"/>
      <c r="EU65" s="146"/>
      <c r="EV65" s="146"/>
      <c r="EW65" s="146"/>
      <c r="EX65" s="146"/>
      <c r="EY65" s="146"/>
      <c r="EZ65" s="146"/>
      <c r="FA65" s="146"/>
      <c r="FB65" s="146"/>
      <c r="FC65" s="146"/>
    </row>
    <row r="66" spans="2:159" ht="15" customHeight="1">
      <c r="C66" s="140"/>
      <c r="D66" s="89" t="str">
        <f>VLOOKUP("Units_kg",Hidden_Translations!$B$11:$J$1184,Hidden_Translations!$C$8,FALSE)</f>
        <v>[kg]</v>
      </c>
      <c r="E66" s="89" t="str">
        <f>VLOOKUP("Units_perc_a",Hidden_Translations!$B$11:$J$1184,Hidden_Translations!$C$8,FALSE)</f>
        <v>[%/a]</v>
      </c>
      <c r="F66" s="89"/>
      <c r="G66" s="139"/>
      <c r="H66" s="64" t="str">
        <f>H57</f>
        <v>[kg CO2 eq/kg]</v>
      </c>
      <c r="I66" s="64" t="str">
        <f>I57</f>
        <v>[MJ/kg]</v>
      </c>
      <c r="J66" s="64" t="str">
        <f>J57</f>
        <v>[m³ eq./kg]</v>
      </c>
      <c r="K66" s="64" t="str">
        <f>K33</f>
        <v>[kg CO2 eq.]</v>
      </c>
      <c r="L66" s="64" t="str">
        <f>L33</f>
        <v>[MJ]</v>
      </c>
      <c r="M66" s="64" t="str">
        <f>M33</f>
        <v>[m³]</v>
      </c>
      <c r="N66" s="64" t="str">
        <f>N33</f>
        <v>[Euro]</v>
      </c>
      <c r="O66" s="93"/>
      <c r="Q66" s="59"/>
      <c r="R66" s="187" t="str">
        <f>VLOOKUP("Units_kg",Hidden_Translations!$B$11:$J$1184,Hidden_Translations!$C$8,FALSE)</f>
        <v>[kg]</v>
      </c>
      <c r="S66" s="122" t="str">
        <f>E66</f>
        <v>[%/a]</v>
      </c>
      <c r="T66" s="122"/>
      <c r="V66" s="64" t="str">
        <f t="shared" si="53"/>
        <v>[kg CO2 eq/kg]</v>
      </c>
      <c r="W66" s="64" t="str">
        <f t="shared" si="53"/>
        <v>[MJ/kg]</v>
      </c>
      <c r="X66" s="64" t="str">
        <f t="shared" si="53"/>
        <v>[m³ eq./kg]</v>
      </c>
      <c r="Y66" s="64" t="str">
        <f t="shared" si="53"/>
        <v>[kg CO2 eq.]</v>
      </c>
      <c r="Z66" s="64" t="str">
        <f t="shared" si="53"/>
        <v>[MJ]</v>
      </c>
      <c r="AA66" s="64" t="str">
        <f t="shared" si="53"/>
        <v>[m³]</v>
      </c>
      <c r="AB66" s="64" t="str">
        <f t="shared" si="53"/>
        <v>[Euro]</v>
      </c>
      <c r="AC66" s="93"/>
      <c r="AE66" s="140"/>
      <c r="AF66" s="89" t="str">
        <f>D66</f>
        <v>[kg]</v>
      </c>
      <c r="AG66" s="89" t="str">
        <f>E66</f>
        <v>[%/a]</v>
      </c>
      <c r="AH66" s="89"/>
      <c r="AI66" s="139"/>
      <c r="AJ66" s="64" t="str">
        <f t="shared" si="54"/>
        <v>[kg CO2 eq/kg]</v>
      </c>
      <c r="AK66" s="64" t="str">
        <f t="shared" si="54"/>
        <v>[MJ/kg]</v>
      </c>
      <c r="AL66" s="64" t="str">
        <f t="shared" si="54"/>
        <v>[m³ eq./kg]</v>
      </c>
      <c r="AM66" s="64" t="str">
        <f t="shared" si="54"/>
        <v>[kg CO2 eq.]</v>
      </c>
      <c r="AN66" s="64" t="str">
        <f t="shared" si="54"/>
        <v>[MJ]</v>
      </c>
      <c r="AO66" s="64" t="str">
        <f t="shared" si="54"/>
        <v>[m³]</v>
      </c>
      <c r="AP66" s="64" t="str">
        <f t="shared" si="54"/>
        <v>[Euro]</v>
      </c>
      <c r="AQ66" s="146"/>
      <c r="AR66" s="146"/>
      <c r="AS66" s="59"/>
      <c r="AT66" s="89" t="str">
        <f>R66</f>
        <v>[kg]</v>
      </c>
      <c r="AU66" s="147" t="str">
        <f>S66</f>
        <v>[%/a]</v>
      </c>
      <c r="AV66" s="147"/>
      <c r="AW66" s="146"/>
      <c r="AX66" s="64" t="str">
        <f t="shared" si="55"/>
        <v>[kg CO2 eq/kg]</v>
      </c>
      <c r="AY66" s="64" t="str">
        <f t="shared" si="55"/>
        <v>[MJ/kg]</v>
      </c>
      <c r="AZ66" s="64" t="str">
        <f t="shared" si="55"/>
        <v>[m³ eq./kg]</v>
      </c>
      <c r="BA66" s="64" t="str">
        <f t="shared" si="55"/>
        <v>[kg CO2 eq.]</v>
      </c>
      <c r="BB66" s="64" t="str">
        <f t="shared" si="55"/>
        <v>[MJ]</v>
      </c>
      <c r="BC66" s="64" t="str">
        <f t="shared" si="55"/>
        <v>[m³]</v>
      </c>
      <c r="BD66" s="142"/>
      <c r="BE66" s="51"/>
      <c r="BF66" s="51"/>
      <c r="BG66" s="51"/>
      <c r="BH66" s="51"/>
      <c r="BI66" s="51"/>
      <c r="BJ66" s="111"/>
      <c r="BK66" s="62"/>
      <c r="BL66" s="111"/>
      <c r="BM66" s="111"/>
      <c r="BN66" s="111"/>
      <c r="BO66" s="146"/>
      <c r="BP66" s="146"/>
      <c r="BQ66" s="59"/>
      <c r="BR66" s="190" t="str">
        <f>R66</f>
        <v>[kg]</v>
      </c>
      <c r="BS66" s="147" t="str">
        <f>S66</f>
        <v>[%/a]</v>
      </c>
      <c r="BT66" s="147"/>
      <c r="BU66" s="146"/>
      <c r="BV66" s="64" t="str">
        <f t="shared" si="56"/>
        <v>[kg CO2 eq/kg]</v>
      </c>
      <c r="BW66" s="64" t="str">
        <f t="shared" si="56"/>
        <v>[MJ/kg]</v>
      </c>
      <c r="BX66" s="64" t="str">
        <f t="shared" si="56"/>
        <v>[m³ eq./kg]</v>
      </c>
      <c r="BY66" s="64" t="str">
        <f t="shared" si="56"/>
        <v>[kg CO2 eq.]</v>
      </c>
      <c r="BZ66" s="64" t="str">
        <f t="shared" si="56"/>
        <v>[MJ]</v>
      </c>
      <c r="CA66" s="64" t="str">
        <f t="shared" si="56"/>
        <v>[m³]</v>
      </c>
      <c r="CB66" s="142"/>
      <c r="CC66" s="146"/>
      <c r="CD66" s="140"/>
      <c r="CE66" s="89" t="str">
        <f>D66</f>
        <v>[kg]</v>
      </c>
      <c r="CF66" s="89" t="str">
        <f>E66</f>
        <v>[%/a]</v>
      </c>
      <c r="CG66" s="89"/>
      <c r="CH66" s="139"/>
      <c r="CI66" s="64" t="str">
        <f t="shared" si="57"/>
        <v>[kg CO2 eq/kg]</v>
      </c>
      <c r="CJ66" s="64" t="str">
        <f t="shared" si="57"/>
        <v>[MJ/kg]</v>
      </c>
      <c r="CK66" s="64" t="str">
        <f t="shared" si="57"/>
        <v>[m³ eq./kg]</v>
      </c>
      <c r="CL66" s="64" t="str">
        <f t="shared" si="57"/>
        <v>[kg CO2 eq.]</v>
      </c>
      <c r="CM66" s="64" t="str">
        <f t="shared" si="57"/>
        <v>[MJ]</v>
      </c>
      <c r="CN66" s="64" t="str">
        <f t="shared" si="57"/>
        <v>[m³]</v>
      </c>
      <c r="CO66" s="64" t="str">
        <f t="shared" si="57"/>
        <v>[Euro]</v>
      </c>
      <c r="CP66" s="146"/>
      <c r="CQ66" s="146"/>
      <c r="CR66" s="59"/>
      <c r="CS66" s="89" t="str">
        <f>R66</f>
        <v>[kg]</v>
      </c>
      <c r="CT66" s="147" t="str">
        <f>S66</f>
        <v>[%/a]</v>
      </c>
      <c r="CU66" s="147"/>
      <c r="CV66" s="146"/>
      <c r="CW66" s="64" t="str">
        <f t="shared" si="58"/>
        <v>[kg CO2 eq/kg]</v>
      </c>
      <c r="CX66" s="64" t="str">
        <f t="shared" si="58"/>
        <v>[MJ/kg]</v>
      </c>
      <c r="CY66" s="64" t="str">
        <f t="shared" si="58"/>
        <v>[m³ eq./kg]</v>
      </c>
      <c r="CZ66" s="64" t="str">
        <f t="shared" si="58"/>
        <v>[kg CO2 eq.]</v>
      </c>
      <c r="DA66" s="64" t="str">
        <f t="shared" si="58"/>
        <v>[MJ]</v>
      </c>
      <c r="DB66" s="64" t="str">
        <f t="shared" si="58"/>
        <v>[m³]</v>
      </c>
      <c r="DC66" s="64" t="str">
        <f t="shared" si="58"/>
        <v>[Euro]</v>
      </c>
      <c r="DD66" s="146"/>
      <c r="DE66" s="146"/>
      <c r="DF66" s="140"/>
      <c r="DG66" s="97" t="str">
        <f>D66</f>
        <v>[kg]</v>
      </c>
      <c r="DH66" s="89" t="str">
        <f>E66</f>
        <v>[%/a]</v>
      </c>
      <c r="DI66" s="89"/>
      <c r="DJ66" s="139"/>
      <c r="DK66" s="64" t="str">
        <f t="shared" si="59"/>
        <v>[kg CO2 eq/kg]</v>
      </c>
      <c r="DL66" s="64" t="str">
        <f t="shared" si="59"/>
        <v>[MJ/kg]</v>
      </c>
      <c r="DM66" s="64" t="str">
        <f t="shared" si="59"/>
        <v>[m³ eq./kg]</v>
      </c>
      <c r="DN66" s="64" t="str">
        <f t="shared" si="59"/>
        <v>[kg CO2 eq.]</v>
      </c>
      <c r="DO66" s="64" t="str">
        <f t="shared" si="59"/>
        <v>[MJ]</v>
      </c>
      <c r="DP66" s="64" t="str">
        <f t="shared" si="59"/>
        <v>[m³]</v>
      </c>
      <c r="DQ66" s="64" t="str">
        <f t="shared" si="59"/>
        <v>[Euro]</v>
      </c>
      <c r="DR66" s="146"/>
      <c r="DS66" s="146"/>
      <c r="DT66" s="89"/>
      <c r="DU66" s="89" t="str">
        <f>R66</f>
        <v>[kg]</v>
      </c>
      <c r="DV66" s="89" t="str">
        <f>S66</f>
        <v>[%/a]</v>
      </c>
      <c r="DW66" s="89"/>
      <c r="DX66" s="147"/>
      <c r="DY66" s="64" t="str">
        <f t="shared" si="60"/>
        <v>[kg CO2 eq/kg]</v>
      </c>
      <c r="DZ66" s="64" t="str">
        <f t="shared" si="60"/>
        <v>[MJ/kg]</v>
      </c>
      <c r="EA66" s="64" t="str">
        <f t="shared" si="60"/>
        <v>[m³ eq./kg]</v>
      </c>
      <c r="EB66" s="64" t="str">
        <f t="shared" si="60"/>
        <v>[kg CO2 eq.]</v>
      </c>
      <c r="EC66" s="64" t="str">
        <f t="shared" si="60"/>
        <v>[MJ]</v>
      </c>
      <c r="ED66" s="64" t="str">
        <f t="shared" si="60"/>
        <v>[m³]</v>
      </c>
      <c r="EE66" s="64" t="str">
        <f t="shared" si="60"/>
        <v>[Euro]</v>
      </c>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row>
    <row r="67" spans="2:159" ht="15" customHeight="1">
      <c r="B67" s="90" t="str">
        <f>B34</f>
        <v>Vehicle 1</v>
      </c>
      <c r="C67" s="317" t="str">
        <f>Input!C71</f>
        <v/>
      </c>
      <c r="D67" s="322">
        <f>+Input!C72</f>
        <v>0</v>
      </c>
      <c r="E67" s="328">
        <f>IF($C$7=Hidden_Lists!$C$19,0,VLOOKUP($C67,Hidden_Lists!$C$23:$D$27,2,FALSE))</f>
        <v>0</v>
      </c>
      <c r="F67" s="90"/>
      <c r="G67" s="90"/>
      <c r="H67" s="320">
        <f>VLOOKUP($C67,Hidden_Database!$C$11:$I$75,4,FALSE)</f>
        <v>0</v>
      </c>
      <c r="I67" s="320">
        <f>VLOOKUP($C67,Hidden_Database!$C$11:$I$75,5,FALSE)</f>
        <v>0</v>
      </c>
      <c r="J67" s="321">
        <f>VLOOKUP($C67,Hidden_Database!$C$11:$I$75,6,FALSE)</f>
        <v>0</v>
      </c>
      <c r="K67" s="345">
        <f t="shared" ref="K67:M71" si="61">+H67*($D67*$E67%)*$E34/(365*24)</f>
        <v>0</v>
      </c>
      <c r="L67" s="345">
        <f t="shared" si="61"/>
        <v>0</v>
      </c>
      <c r="M67" s="345">
        <f t="shared" si="61"/>
        <v>0</v>
      </c>
      <c r="N67" s="345">
        <f>IF(C$7=Hidden_Lists!$C$20,VLOOKUP(C67,Hidden_Database!$C$11:$J$75,8,FALSE)*(D67*E67%)*E34/(365*24),0)</f>
        <v>0</v>
      </c>
      <c r="O67" s="93"/>
      <c r="P67" s="137" t="str">
        <f>VLOOKUP("Hidden_Calculation_Refrigerant_Use",Hidden_Translations!$B$11:$J$1184,Hidden_Translations!$C$8,FALSE)</f>
        <v>Refrigerant use per year</v>
      </c>
      <c r="Q67" s="317" t="str">
        <f>+Input!F106</f>
        <v/>
      </c>
      <c r="R67" s="317">
        <f>+Input!F107</f>
        <v>0</v>
      </c>
      <c r="S67" s="328">
        <f>+VLOOKUP($Q67,Hidden_Lists!$C$23:$D$27,2,FALSE)</f>
        <v>0</v>
      </c>
      <c r="T67" s="137"/>
      <c r="V67" s="320">
        <f>VLOOKUP($Q$67,Hidden_Database!$C$11:$I$75,4,FALSE)</f>
        <v>0</v>
      </c>
      <c r="W67" s="320">
        <f>VLOOKUP($Q$67,Hidden_Database!$C$11:$I$75,5,FALSE)</f>
        <v>0</v>
      </c>
      <c r="X67" s="321">
        <f>VLOOKUP($Q$67,Hidden_Database!$C$11:$I$75,6,FALSE)</f>
        <v>0</v>
      </c>
      <c r="Y67" s="345">
        <f>+V67*($R$67*$S$67%)*($Q$14/(365*24))</f>
        <v>0</v>
      </c>
      <c r="Z67" s="345">
        <f>+W67*($R$67*$S$67%)*($Q$14/(365*24))</f>
        <v>0</v>
      </c>
      <c r="AA67" s="345">
        <f>+X67*($R$67*$S$67%)*($Q$14/(365*24))</f>
        <v>0</v>
      </c>
      <c r="AB67" s="345">
        <f>VLOOKUP(Q67,Hidden_Database!$C$11:$J$75,8,FALSE)*($R$67*$S$67%)*($Q$14/(365*24))</f>
        <v>0</v>
      </c>
      <c r="AC67" s="93"/>
      <c r="AD67" s="90" t="str">
        <f>B67</f>
        <v>Vehicle 1</v>
      </c>
      <c r="AE67" s="317" t="str">
        <f>Input!C133</f>
        <v/>
      </c>
      <c r="AF67" s="323">
        <f>+Input!C134</f>
        <v>0</v>
      </c>
      <c r="AG67" s="329">
        <f>IF($AE$7=Hidden_Lists!$C$19,0,VLOOKUP($C67,Hidden_Lists!$C$23:$D$27,2,FALSE))</f>
        <v>0</v>
      </c>
      <c r="AH67" s="143"/>
      <c r="AI67" s="143"/>
      <c r="AJ67" s="320">
        <f>VLOOKUP($AE67,Hidden_Database!$C$11:$I$75,4,FALSE)</f>
        <v>0</v>
      </c>
      <c r="AK67" s="320">
        <f>VLOOKUP($AE67,Hidden_Database!$C$11:$I$75,5,FALSE)</f>
        <v>0</v>
      </c>
      <c r="AL67" s="321">
        <f>VLOOKUP($AE67,Hidden_Database!$C$11:$I$75,6,FALSE)</f>
        <v>0</v>
      </c>
      <c r="AM67" s="345">
        <f>+AJ67*($AF67*AG67%)*$AG34/(365*24)</f>
        <v>0</v>
      </c>
      <c r="AN67" s="345">
        <f>+AK67*($AF67*AG67%)*$AG34/(365*24)</f>
        <v>0</v>
      </c>
      <c r="AO67" s="345">
        <f>+AL67*($AF67*AG67%)*$AG34/(365*24)</f>
        <v>0</v>
      </c>
      <c r="AP67" s="345">
        <f>IF(AE$7=Hidden_Lists!$C$20,VLOOKUP(AE67,Hidden_Database!$C$11:$J$75,8,FALSE)*(AF67*AG67%)*AG34/(365*24),0)</f>
        <v>0</v>
      </c>
      <c r="AQ67" s="146"/>
      <c r="AR67" s="137" t="str">
        <f>P67</f>
        <v>Refrigerant use per year</v>
      </c>
      <c r="AS67" s="315" t="str">
        <f>+Input!F153</f>
        <v/>
      </c>
      <c r="AT67" s="315">
        <f>+Input!F154</f>
        <v>0</v>
      </c>
      <c r="AU67" s="329">
        <f>+VLOOKUP($Q67,Hidden_Lists!C23:D27,2,FALSE)</f>
        <v>0</v>
      </c>
      <c r="AV67" s="137"/>
      <c r="AW67" s="146"/>
      <c r="AX67" s="320">
        <f>VLOOKUP($AS$67,Hidden_Database!$C$11:$I$75,4,FALSE)</f>
        <v>0</v>
      </c>
      <c r="AY67" s="320">
        <f>VLOOKUP($AS$67,Hidden_Database!$C$11:$I$75,5,FALSE)</f>
        <v>0</v>
      </c>
      <c r="AZ67" s="321">
        <f>VLOOKUP($AS$67,Hidden_Database!$C$11:$I$75,6,FALSE)</f>
        <v>0</v>
      </c>
      <c r="BA67" s="345">
        <f>+AX67*($AT$67*AU67%)*($AS$14/(365*24))</f>
        <v>0</v>
      </c>
      <c r="BB67" s="345">
        <f>+AY67*($AT$67*AU67%)*($AS$14/(365*24))</f>
        <v>0</v>
      </c>
      <c r="BC67" s="345">
        <f>+AZ67*($AT$67*$AU$67%)*($AS$14/(365*24))</f>
        <v>0</v>
      </c>
      <c r="BD67" s="142"/>
      <c r="BE67" s="51"/>
      <c r="BF67" s="51"/>
      <c r="BG67" s="51"/>
      <c r="BH67" s="51"/>
      <c r="BI67" s="111"/>
      <c r="BJ67" s="104"/>
      <c r="BK67" s="62"/>
      <c r="BL67" s="111"/>
      <c r="BM67" s="111"/>
      <c r="BN67" s="111"/>
      <c r="BO67" s="146"/>
      <c r="BP67" s="143" t="str">
        <f>P67</f>
        <v>Refrigerant use per year</v>
      </c>
      <c r="BQ67" s="315" t="str">
        <f>+Input!F181</f>
        <v/>
      </c>
      <c r="BR67" s="315">
        <f>+Input!F182</f>
        <v>0</v>
      </c>
      <c r="BS67" s="329">
        <f>+VLOOKUP($Q67,Hidden_Lists!C23:D27,2,FALSE)</f>
        <v>0</v>
      </c>
      <c r="BT67" s="146"/>
      <c r="BU67" s="146"/>
      <c r="BV67" s="320">
        <f>VLOOKUP($BQ67,Hidden_Database!$C$11:$I$75,4,FALSE)</f>
        <v>0</v>
      </c>
      <c r="BW67" s="320">
        <f>VLOOKUP($BQ67,Hidden_Database!$C$11:$I$75,5,FALSE)</f>
        <v>0</v>
      </c>
      <c r="BX67" s="321">
        <f>VLOOKUP($BQ67,Hidden_Database!$C$11:$I$75,6,FALSE)</f>
        <v>0</v>
      </c>
      <c r="BY67" s="345">
        <f>+BV67*($BR$67*$BS$67%)*($BQ$14/(365*24))</f>
        <v>0</v>
      </c>
      <c r="BZ67" s="345">
        <f>+BW67*($BR$67*$BS$67%)*($BQ$14/(365*24))</f>
        <v>0</v>
      </c>
      <c r="CA67" s="345">
        <f>+BX67*($BR$67*$BS$67%)*($BQ$14/(365*24))</f>
        <v>0</v>
      </c>
      <c r="CB67" s="142"/>
      <c r="CC67" s="143" t="str">
        <f>B67</f>
        <v>Vehicle 1</v>
      </c>
      <c r="CD67" s="315" t="str">
        <f>Input!C198</f>
        <v/>
      </c>
      <c r="CE67" s="323">
        <f>+Input!C199</f>
        <v>0</v>
      </c>
      <c r="CF67" s="329">
        <f>IF($CD$7=Hidden_Lists!$C$19,0,VLOOKUP($CD67,Hidden_Lists!$C$23:$D$27,2,FALSE))</f>
        <v>0</v>
      </c>
      <c r="CG67" s="143"/>
      <c r="CH67" s="143"/>
      <c r="CI67" s="320">
        <f>VLOOKUP($CD67,Hidden_Database!$C$11:$I$75,4,FALSE)</f>
        <v>0</v>
      </c>
      <c r="CJ67" s="320">
        <f>VLOOKUP($CD67,Hidden_Database!$C$11:$I$75,5,FALSE)</f>
        <v>0</v>
      </c>
      <c r="CK67" s="321">
        <f>VLOOKUP($CD67,Hidden_Database!$C$11:$I$75,6,FALSE)</f>
        <v>0</v>
      </c>
      <c r="CL67" s="345">
        <f t="shared" ref="CL67:CN71" si="62">+CI67*($CE67*$CF67%)*$CF34/(365*24)</f>
        <v>0</v>
      </c>
      <c r="CM67" s="345">
        <f t="shared" si="62"/>
        <v>0</v>
      </c>
      <c r="CN67" s="345">
        <f t="shared" si="62"/>
        <v>0</v>
      </c>
      <c r="CO67" s="345">
        <f>IF(CD$7=Hidden_Lists!$C$20,VLOOKUP(CD67,Hidden_Database!$C$11:$J$75,8,FALSE)*(CE67*CF67%)*CF34/(365*24),0)</f>
        <v>0</v>
      </c>
      <c r="CP67" s="146"/>
      <c r="CQ67" s="137" t="str">
        <f>P67</f>
        <v>Refrigerant use per year</v>
      </c>
      <c r="CR67" s="315" t="str">
        <f>+Input!F221</f>
        <v/>
      </c>
      <c r="CS67" s="315">
        <f>Input!F222</f>
        <v>0</v>
      </c>
      <c r="CT67" s="329">
        <f>+VLOOKUP($Q67,Hidden_Lists!C23:D27,2,FALSE)</f>
        <v>0</v>
      </c>
      <c r="CU67" s="137"/>
      <c r="CV67" s="146"/>
      <c r="CW67" s="320">
        <f>VLOOKUP($CR67,Hidden_Database!$C$11:$I$75,4,FALSE)</f>
        <v>0</v>
      </c>
      <c r="CX67" s="320">
        <f>VLOOKUP($CR67,Hidden_Database!$C$11:$I$75,5,FALSE)</f>
        <v>0</v>
      </c>
      <c r="CY67" s="321">
        <f>VLOOKUP($CR67,Hidden_Database!$C$11:$I$75,6,FALSE)</f>
        <v>0</v>
      </c>
      <c r="CZ67" s="345">
        <f>+CW67*CS67*CT67%*(CR14/(365*24))</f>
        <v>0</v>
      </c>
      <c r="DA67" s="345">
        <f>+CX67*CS67*CT67%*(CR14/(365*24))</f>
        <v>0</v>
      </c>
      <c r="DB67" s="345">
        <f>+CY67*CS67*$CT$67%*(CR14/(365*24))</f>
        <v>0</v>
      </c>
      <c r="DC67" s="345">
        <f>VLOOKUP(CR67,Hidden_Database!$C$11:$J$75,8,FALSE)*(CS67*$CT$67%)*($CR$14/(365*24))</f>
        <v>0</v>
      </c>
      <c r="DD67" s="146"/>
      <c r="DE67" s="143" t="str">
        <f>B67</f>
        <v>Vehicle 1</v>
      </c>
      <c r="DF67" s="315" t="str">
        <f>Input!C246</f>
        <v/>
      </c>
      <c r="DG67" s="323">
        <f>+Input!C247</f>
        <v>0</v>
      </c>
      <c r="DH67" s="329">
        <f>IF($DF$7=Hidden_Lists!$C$19,0,VLOOKUP($DF67,Hidden_Lists!$C$23:$D$27,2,FALSE))</f>
        <v>0</v>
      </c>
      <c r="DI67" s="143"/>
      <c r="DJ67" s="143"/>
      <c r="DK67" s="320">
        <f>VLOOKUP($DF67,Hidden_Database!$C$11:$I$75,4,FALSE)</f>
        <v>0</v>
      </c>
      <c r="DL67" s="320">
        <f>VLOOKUP($DF67,Hidden_Database!$C$11:$I$75,5,FALSE)</f>
        <v>0</v>
      </c>
      <c r="DM67" s="321">
        <f>VLOOKUP($DF67,Hidden_Database!$C$11:$I$75,6,FALSE)</f>
        <v>0</v>
      </c>
      <c r="DN67" s="345">
        <f t="shared" ref="DN67:DP71" si="63">+DK67*$DG67*$DH67%*$DH34/(365*24)</f>
        <v>0</v>
      </c>
      <c r="DO67" s="345">
        <f t="shared" si="63"/>
        <v>0</v>
      </c>
      <c r="DP67" s="345">
        <f t="shared" si="63"/>
        <v>0</v>
      </c>
      <c r="DQ67" s="345">
        <f>IF(DF$7=Hidden_Lists!$C$20,VLOOKUP(DF67,Hidden_Database!$C$11:$J$75,8,FALSE)*(DG67*DH67%)*DH34/(365*24),0)</f>
        <v>0</v>
      </c>
      <c r="DR67" s="146"/>
      <c r="DS67" s="137" t="str">
        <f>P67</f>
        <v>Refrigerant use per year</v>
      </c>
      <c r="DT67" s="315" t="str">
        <f>+Input!F269</f>
        <v/>
      </c>
      <c r="DU67" s="315">
        <f>+Input!F270</f>
        <v>0</v>
      </c>
      <c r="DV67" s="329">
        <f>+VLOOKUP($Q67,Hidden_Lists!C23:D27,2,FALSE)</f>
        <v>0</v>
      </c>
      <c r="DW67" s="137"/>
      <c r="DX67" s="146"/>
      <c r="DY67" s="320">
        <f>VLOOKUP($DT67,Hidden_Database!$C$11:$I$75,4,FALSE)</f>
        <v>0</v>
      </c>
      <c r="DZ67" s="320">
        <f>VLOOKUP($DT67,Hidden_Database!$C$11:$I$75,5,FALSE)</f>
        <v>0</v>
      </c>
      <c r="EA67" s="321">
        <f>VLOOKUP($DT67,Hidden_Database!$C$11:$I$75,6,FALSE)</f>
        <v>0</v>
      </c>
      <c r="EB67" s="345">
        <f>+DY67*$DU$67*$DV$67%*($DT$14/(365*24))</f>
        <v>0</v>
      </c>
      <c r="EC67" s="345">
        <f>+DZ67*$DU$67*$DV$67%*($DT$14/(365*24))</f>
        <v>0</v>
      </c>
      <c r="ED67" s="345">
        <f>+EA67*$DU$67*$DV$67%*($DT$14/(365*24))</f>
        <v>0</v>
      </c>
      <c r="EE67" s="345">
        <f>VLOOKUP(DT67,Hidden_Database!$C$11:$J$75,8,FALSE)*($DU$67*$DV$67%)*($DT$14/(365*24))</f>
        <v>0</v>
      </c>
      <c r="EF67" s="146"/>
      <c r="EG67" s="146"/>
      <c r="EH67" s="146"/>
      <c r="EI67" s="146"/>
      <c r="EJ67" s="146"/>
      <c r="EK67" s="146"/>
      <c r="EL67" s="146"/>
      <c r="EM67" s="146"/>
      <c r="EN67" s="146"/>
      <c r="EO67" s="146"/>
      <c r="EP67" s="146"/>
      <c r="EQ67" s="146"/>
      <c r="ER67" s="146"/>
      <c r="ES67" s="146"/>
      <c r="ET67" s="146"/>
      <c r="EU67" s="146"/>
      <c r="EV67" s="146"/>
      <c r="EW67" s="146"/>
      <c r="EX67" s="146"/>
      <c r="EY67" s="146"/>
      <c r="EZ67" s="146"/>
      <c r="FA67" s="146"/>
      <c r="FB67" s="146"/>
      <c r="FC67" s="146"/>
    </row>
    <row r="68" spans="2:159">
      <c r="B68" s="90" t="str">
        <f>B35</f>
        <v>Vehicle 2</v>
      </c>
      <c r="C68" s="317" t="str">
        <f>Input!D71</f>
        <v/>
      </c>
      <c r="D68" s="322">
        <f>+Input!D72</f>
        <v>0</v>
      </c>
      <c r="E68" s="328">
        <f>IF($C$7=Hidden_Lists!$C$19,0,VLOOKUP($C68,Hidden_Lists!$C$23:$D$27,2,FALSE))</f>
        <v>0</v>
      </c>
      <c r="F68" s="90"/>
      <c r="G68" s="90"/>
      <c r="H68" s="320">
        <f>VLOOKUP($C68,Hidden_Database!$C$11:$I$75,4,FALSE)</f>
        <v>0</v>
      </c>
      <c r="I68" s="320">
        <f>VLOOKUP($C68,Hidden_Database!$C$11:$I$75,5,FALSE)</f>
        <v>0</v>
      </c>
      <c r="J68" s="321">
        <f>VLOOKUP($C68,Hidden_Database!$C$11:$I$75,6,FALSE)</f>
        <v>0</v>
      </c>
      <c r="K68" s="345">
        <f t="shared" si="61"/>
        <v>0</v>
      </c>
      <c r="L68" s="345">
        <f t="shared" si="61"/>
        <v>0</v>
      </c>
      <c r="M68" s="345">
        <f t="shared" si="61"/>
        <v>0</v>
      </c>
      <c r="N68" s="345">
        <f>IF(C$7=Hidden_Lists!$C$20,VLOOKUP(C68,Hidden_Database!$C$11:$J$75,8,FALSE)*(D68*E68%)*E35/(365*24),0)</f>
        <v>0</v>
      </c>
      <c r="O68" s="93"/>
      <c r="U68" s="97"/>
      <c r="V68" s="62"/>
      <c r="W68" s="62"/>
      <c r="X68" s="62"/>
      <c r="Y68" s="155"/>
      <c r="Z68" s="155"/>
      <c r="AA68" s="155"/>
      <c r="AB68" s="62"/>
      <c r="AC68" s="93"/>
      <c r="AD68" s="90" t="str">
        <f>B68</f>
        <v>Vehicle 2</v>
      </c>
      <c r="AE68" s="317" t="str">
        <f>Input!D133</f>
        <v/>
      </c>
      <c r="AF68" s="323">
        <f>+Input!D134</f>
        <v>0</v>
      </c>
      <c r="AG68" s="329">
        <f>IF($AE$7=Hidden_Lists!$C$19,0,VLOOKUP($C68,Hidden_Lists!$C$23:$D$27,2,FALSE))</f>
        <v>0</v>
      </c>
      <c r="AH68" s="143"/>
      <c r="AI68" s="143"/>
      <c r="AJ68" s="320">
        <f>VLOOKUP($AE68,Hidden_Database!$C$11:$I$75,4,FALSE)</f>
        <v>0</v>
      </c>
      <c r="AK68" s="320">
        <f>VLOOKUP($AE68,Hidden_Database!$C$11:$I$75,5,FALSE)</f>
        <v>0</v>
      </c>
      <c r="AL68" s="321">
        <f>VLOOKUP($AE68,Hidden_Database!$C$11:$I$75,6,FALSE)</f>
        <v>0</v>
      </c>
      <c r="AM68" s="345">
        <f>+AJ68*($AF68*AG68%)*$AG35/(365*24)</f>
        <v>0</v>
      </c>
      <c r="AN68" s="345">
        <f>+AK68*($AF68*AG68%)*$AG35/(365*24)</f>
        <v>0</v>
      </c>
      <c r="AO68" s="345">
        <f>+AL68*($AF68*AG68%)*$AG35/(365*24)</f>
        <v>0</v>
      </c>
      <c r="AP68" s="345">
        <f>IF(AE$7=Hidden_Lists!$C$20,VLOOKUP(AE68,Hidden_Database!$C$11:$J$75,8,FALSE)*(AF68*AG68%)*AG35/(365*24),0)</f>
        <v>0</v>
      </c>
      <c r="AQ68" s="146"/>
      <c r="AR68" s="146"/>
      <c r="AS68" s="146"/>
      <c r="AT68" s="146"/>
      <c r="AU68" s="146"/>
      <c r="AV68" s="146"/>
      <c r="AW68" s="62"/>
      <c r="AX68" s="62"/>
      <c r="AY68" s="62"/>
      <c r="AZ68" s="62"/>
      <c r="BA68" s="111"/>
      <c r="BB68" s="111"/>
      <c r="BC68" s="111"/>
      <c r="BD68" s="142"/>
      <c r="BE68" s="51"/>
      <c r="BF68" s="51"/>
      <c r="BG68" s="51"/>
      <c r="BH68" s="51"/>
      <c r="BI68" s="104"/>
      <c r="BJ68" s="104"/>
      <c r="BK68" s="111"/>
      <c r="BL68" s="104"/>
      <c r="BM68" s="111"/>
      <c r="BN68" s="111"/>
      <c r="BO68" s="146"/>
      <c r="BP68" s="146"/>
      <c r="BQ68" s="146"/>
      <c r="BR68" s="146"/>
      <c r="BS68" s="146"/>
      <c r="BT68" s="146"/>
      <c r="BU68" s="62"/>
      <c r="BV68" s="62"/>
      <c r="BW68" s="62"/>
      <c r="BX68" s="62"/>
      <c r="BY68" s="111"/>
      <c r="BZ68" s="111"/>
      <c r="CA68" s="111"/>
      <c r="CB68" s="142"/>
      <c r="CC68" s="143" t="str">
        <f>B68</f>
        <v>Vehicle 2</v>
      </c>
      <c r="CD68" s="315" t="str">
        <f>Input!D198</f>
        <v/>
      </c>
      <c r="CE68" s="323">
        <f>+Input!D199</f>
        <v>0</v>
      </c>
      <c r="CF68" s="329">
        <f>IF($CD$7=Hidden_Lists!$C$19,0,VLOOKUP($CD68,Hidden_Lists!$C$23:$D$27,2,FALSE))</f>
        <v>0</v>
      </c>
      <c r="CG68" s="143"/>
      <c r="CH68" s="143"/>
      <c r="CI68" s="320">
        <f>VLOOKUP($CD68,Hidden_Database!$C$11:$I$75,4,FALSE)</f>
        <v>0</v>
      </c>
      <c r="CJ68" s="320">
        <f>VLOOKUP($CD68,Hidden_Database!$C$11:$I$75,5,FALSE)</f>
        <v>0</v>
      </c>
      <c r="CK68" s="321">
        <f>VLOOKUP($CD68,Hidden_Database!$C$11:$I$75,6,FALSE)</f>
        <v>0</v>
      </c>
      <c r="CL68" s="345">
        <f t="shared" si="62"/>
        <v>0</v>
      </c>
      <c r="CM68" s="345">
        <f t="shared" si="62"/>
        <v>0</v>
      </c>
      <c r="CN68" s="345">
        <f t="shared" si="62"/>
        <v>0</v>
      </c>
      <c r="CO68" s="345">
        <f>IF(CD$7=Hidden_Lists!$C$20,VLOOKUP(CD68,Hidden_Database!$C$11:$J$75,8,FALSE)*(CE68*CF68%)*CF35/(365*24),0)</f>
        <v>0</v>
      </c>
      <c r="CP68" s="146"/>
      <c r="CQ68" s="146"/>
      <c r="CR68" s="146"/>
      <c r="CS68" s="146"/>
      <c r="CT68" s="146"/>
      <c r="CU68" s="146"/>
      <c r="CV68" s="31"/>
      <c r="CW68" s="31"/>
      <c r="CX68" s="31"/>
      <c r="CY68" s="31"/>
      <c r="CZ68" s="31"/>
      <c r="DA68" s="31"/>
      <c r="DB68" s="31"/>
      <c r="DC68" s="31"/>
      <c r="DD68" s="146"/>
      <c r="DE68" s="143" t="str">
        <f>B68</f>
        <v>Vehicle 2</v>
      </c>
      <c r="DF68" s="315" t="str">
        <f>Input!D246</f>
        <v/>
      </c>
      <c r="DG68" s="323">
        <f>+Input!D247</f>
        <v>0</v>
      </c>
      <c r="DH68" s="329">
        <f>IF($DF$7=Hidden_Lists!$C$19,0,VLOOKUP($DF68,Hidden_Lists!$C$23:$D$27,2,FALSE))</f>
        <v>0</v>
      </c>
      <c r="DI68" s="143"/>
      <c r="DJ68" s="143"/>
      <c r="DK68" s="320">
        <f>VLOOKUP($DF68,Hidden_Database!$C$11:$I$75,4,FALSE)</f>
        <v>0</v>
      </c>
      <c r="DL68" s="320">
        <f>VLOOKUP($DF68,Hidden_Database!$C$11:$I$75,5,FALSE)</f>
        <v>0</v>
      </c>
      <c r="DM68" s="321">
        <f>VLOOKUP($DF68,Hidden_Database!$C$11:$I$75,6,FALSE)</f>
        <v>0</v>
      </c>
      <c r="DN68" s="345">
        <f t="shared" si="63"/>
        <v>0</v>
      </c>
      <c r="DO68" s="345">
        <f t="shared" si="63"/>
        <v>0</v>
      </c>
      <c r="DP68" s="345">
        <f t="shared" si="63"/>
        <v>0</v>
      </c>
      <c r="DQ68" s="345">
        <f>IF(DF$7=Hidden_Lists!$C$20,VLOOKUP(DF68,Hidden_Database!$C$11:$J$75,8,FALSE)*(DG68*DH68%)*DH35/(365*24),0)</f>
        <v>0</v>
      </c>
      <c r="DR68" s="146"/>
      <c r="DS68" s="146"/>
      <c r="DT68" s="146"/>
      <c r="DU68" s="146"/>
      <c r="DV68" s="146"/>
      <c r="DW68" s="146"/>
      <c r="DX68" s="31"/>
      <c r="DY68" s="31"/>
      <c r="DZ68" s="31"/>
      <c r="EA68" s="31"/>
      <c r="EB68" s="31"/>
      <c r="EC68" s="31"/>
      <c r="ED68" s="31"/>
      <c r="EE68" s="31"/>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row>
    <row r="69" spans="2:159">
      <c r="B69" s="90" t="str">
        <f>B36</f>
        <v>Vehicle 3</v>
      </c>
      <c r="C69" s="317" t="str">
        <f>Input!E71</f>
        <v/>
      </c>
      <c r="D69" s="322">
        <f>+Input!E72</f>
        <v>0</v>
      </c>
      <c r="E69" s="328">
        <f>IF($C$7=Hidden_Lists!$C$19,0,VLOOKUP($C69,Hidden_Lists!$C$23:$D$27,2,FALSE))</f>
        <v>0</v>
      </c>
      <c r="F69" s="90"/>
      <c r="G69" s="90"/>
      <c r="H69" s="320">
        <f>VLOOKUP($C69,Hidden_Database!$C$11:$I$75,4,FALSE)</f>
        <v>0</v>
      </c>
      <c r="I69" s="320">
        <f>VLOOKUP($C69,Hidden_Database!$C$11:$I$75,5,FALSE)</f>
        <v>0</v>
      </c>
      <c r="J69" s="321">
        <f>VLOOKUP($C69,Hidden_Database!$C$11:$I$75,6,FALSE)</f>
        <v>0</v>
      </c>
      <c r="K69" s="345">
        <f t="shared" si="61"/>
        <v>0</v>
      </c>
      <c r="L69" s="345">
        <f t="shared" si="61"/>
        <v>0</v>
      </c>
      <c r="M69" s="345">
        <f t="shared" si="61"/>
        <v>0</v>
      </c>
      <c r="N69" s="345">
        <f>IF(C$7=Hidden_Lists!$C$20,VLOOKUP(C69,Hidden_Database!$C$11:$J$75,8,FALSE)*(D69*E69%)*E36/(365*24),0)</f>
        <v>0</v>
      </c>
      <c r="O69" s="93"/>
      <c r="AC69" s="93"/>
      <c r="AD69" s="90" t="str">
        <f>B69</f>
        <v>Vehicle 3</v>
      </c>
      <c r="AE69" s="317" t="str">
        <f>Input!E133</f>
        <v/>
      </c>
      <c r="AF69" s="323">
        <f>+Input!E134</f>
        <v>0</v>
      </c>
      <c r="AG69" s="329">
        <f>IF($AE$7=Hidden_Lists!$C$19,0,VLOOKUP($C69,Hidden_Lists!$C$23:$D$27,2,FALSE))</f>
        <v>0</v>
      </c>
      <c r="AH69" s="143"/>
      <c r="AI69" s="143"/>
      <c r="AJ69" s="320">
        <f>VLOOKUP($AE69,Hidden_Database!$C$11:$I$75,4,FALSE)</f>
        <v>0</v>
      </c>
      <c r="AK69" s="320">
        <f>VLOOKUP($AE69,Hidden_Database!$C$11:$I$75,5,FALSE)</f>
        <v>0</v>
      </c>
      <c r="AL69" s="321">
        <f>VLOOKUP($AE69,Hidden_Database!$C$11:$I$75,6,FALSE)</f>
        <v>0</v>
      </c>
      <c r="AM69" s="345">
        <f>+AJ69*($AF69*AG69%)*$AG36/(365*24)</f>
        <v>0</v>
      </c>
      <c r="AN69" s="345">
        <f>+AK69*($AF69*AG69%)*$AG36/(365*24)</f>
        <v>0</v>
      </c>
      <c r="AO69" s="345">
        <f>+AL69*($AF69*AG69%)*$AG36/(365*24)</f>
        <v>0</v>
      </c>
      <c r="AP69" s="345">
        <f>IF(AE$7=Hidden_Lists!$C$20,VLOOKUP(AE69,Hidden_Database!$C$11:$J$75,8,FALSE)*(AF69*AG69%)*AG36/(365*24),0)</f>
        <v>0</v>
      </c>
      <c r="AQ69" s="146"/>
      <c r="AR69" s="51"/>
      <c r="AS69" s="274"/>
      <c r="AT69" s="113"/>
      <c r="AU69" s="275"/>
      <c r="AV69" s="275"/>
      <c r="AW69" s="62"/>
      <c r="AX69" s="62"/>
      <c r="AY69" s="62"/>
      <c r="AZ69" s="62"/>
      <c r="BA69" s="111"/>
      <c r="BB69" s="111"/>
      <c r="BC69" s="111"/>
      <c r="BD69" s="142"/>
      <c r="BE69" s="51"/>
      <c r="BF69" s="51"/>
      <c r="BG69" s="51"/>
      <c r="BH69" s="51"/>
      <c r="BI69" s="104"/>
      <c r="BJ69" s="111"/>
      <c r="BK69" s="104"/>
      <c r="BL69" s="104"/>
      <c r="BM69" s="104"/>
      <c r="BN69" s="111"/>
      <c r="BO69" s="146"/>
      <c r="BP69" s="51"/>
      <c r="BQ69" s="274"/>
      <c r="BR69" s="113"/>
      <c r="BS69" s="275"/>
      <c r="BT69" s="275"/>
      <c r="BU69" s="62"/>
      <c r="BV69" s="62"/>
      <c r="BW69" s="62"/>
      <c r="BX69" s="62"/>
      <c r="BY69" s="111"/>
      <c r="BZ69" s="111"/>
      <c r="CA69" s="111"/>
      <c r="CB69" s="142"/>
      <c r="CC69" s="143" t="str">
        <f>B69</f>
        <v>Vehicle 3</v>
      </c>
      <c r="CD69" s="315" t="str">
        <f>Input!E198</f>
        <v/>
      </c>
      <c r="CE69" s="323">
        <f>+Input!E199</f>
        <v>0</v>
      </c>
      <c r="CF69" s="329">
        <f>IF($CD$7=Hidden_Lists!$C$19,0,VLOOKUP($CD69,Hidden_Lists!$C$23:$D$27,2,FALSE))</f>
        <v>0</v>
      </c>
      <c r="CG69" s="143"/>
      <c r="CH69" s="143"/>
      <c r="CI69" s="320">
        <f>VLOOKUP($CD69,Hidden_Database!$C$11:$I$75,4,FALSE)</f>
        <v>0</v>
      </c>
      <c r="CJ69" s="320">
        <f>VLOOKUP($CD69,Hidden_Database!$C$11:$I$75,5,FALSE)</f>
        <v>0</v>
      </c>
      <c r="CK69" s="321">
        <f>VLOOKUP($CD69,Hidden_Database!$C$11:$I$75,6,FALSE)</f>
        <v>0</v>
      </c>
      <c r="CL69" s="345">
        <f t="shared" si="62"/>
        <v>0</v>
      </c>
      <c r="CM69" s="345">
        <f t="shared" si="62"/>
        <v>0</v>
      </c>
      <c r="CN69" s="345">
        <f t="shared" si="62"/>
        <v>0</v>
      </c>
      <c r="CO69" s="345">
        <f>IF(CD$7=Hidden_Lists!$C$20,VLOOKUP(CD69,Hidden_Database!$C$11:$J$75,8,FALSE)*(CE69*CF69%)*CF36/(365*24),0)</f>
        <v>0</v>
      </c>
      <c r="CP69" s="146"/>
      <c r="CQ69" s="41"/>
      <c r="CR69" s="31"/>
      <c r="CS69" s="41"/>
      <c r="CT69" s="31"/>
      <c r="CU69" s="31"/>
      <c r="CV69" s="31"/>
      <c r="CW69" s="31"/>
      <c r="CX69" s="31"/>
      <c r="CY69" s="31"/>
      <c r="CZ69" s="31"/>
      <c r="DA69" s="31"/>
      <c r="DB69" s="31"/>
      <c r="DC69" s="31"/>
      <c r="DD69" s="146"/>
      <c r="DE69" s="143" t="str">
        <f>B69</f>
        <v>Vehicle 3</v>
      </c>
      <c r="DF69" s="315" t="str">
        <f>Input!E246</f>
        <v/>
      </c>
      <c r="DG69" s="323">
        <f>+Input!E247</f>
        <v>0</v>
      </c>
      <c r="DH69" s="329">
        <f>IF($DF$7=Hidden_Lists!$C$19,0,VLOOKUP($DF69,Hidden_Lists!$C$23:$D$27,2,FALSE))</f>
        <v>0</v>
      </c>
      <c r="DI69" s="143"/>
      <c r="DJ69" s="143"/>
      <c r="DK69" s="320">
        <f>VLOOKUP($DF69,Hidden_Database!$C$11:$I$75,4,FALSE)</f>
        <v>0</v>
      </c>
      <c r="DL69" s="320">
        <f>VLOOKUP($DF69,Hidden_Database!$C$11:$I$75,5,FALSE)</f>
        <v>0</v>
      </c>
      <c r="DM69" s="321">
        <f>VLOOKUP($DF69,Hidden_Database!$C$11:$I$75,6,FALSE)</f>
        <v>0</v>
      </c>
      <c r="DN69" s="345">
        <f t="shared" si="63"/>
        <v>0</v>
      </c>
      <c r="DO69" s="345">
        <f t="shared" si="63"/>
        <v>0</v>
      </c>
      <c r="DP69" s="345">
        <f t="shared" si="63"/>
        <v>0</v>
      </c>
      <c r="DQ69" s="345">
        <f>IF(DF$7=Hidden_Lists!$C$20,VLOOKUP(DF69,Hidden_Database!$C$11:$J$75,8,FALSE)*(DG69*DH69%)*DH36/(365*24),0)</f>
        <v>0</v>
      </c>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6"/>
      <c r="EU69" s="146"/>
      <c r="EV69" s="146"/>
      <c r="EW69" s="146"/>
      <c r="EX69" s="146"/>
      <c r="EY69" s="146"/>
      <c r="EZ69" s="146"/>
      <c r="FA69" s="146"/>
      <c r="FB69" s="146"/>
      <c r="FC69" s="146"/>
    </row>
    <row r="70" spans="2:159">
      <c r="B70" s="90" t="str">
        <f>B37</f>
        <v>Vehicle 4</v>
      </c>
      <c r="C70" s="317" t="str">
        <f>Input!F71</f>
        <v/>
      </c>
      <c r="D70" s="322">
        <f>+Input!F72</f>
        <v>0</v>
      </c>
      <c r="E70" s="328">
        <f>IF($C$7=Hidden_Lists!$C$19,0,VLOOKUP($C70,Hidden_Lists!$C$23:$D$27,2,FALSE))</f>
        <v>0</v>
      </c>
      <c r="F70" s="90"/>
      <c r="G70" s="90"/>
      <c r="H70" s="320">
        <f>VLOOKUP($C70,Hidden_Database!$C$11:$I$75,4,FALSE)</f>
        <v>0</v>
      </c>
      <c r="I70" s="320">
        <f>VLOOKUP($C70,Hidden_Database!$C$11:$I$75,5,FALSE)</f>
        <v>0</v>
      </c>
      <c r="J70" s="321">
        <f>VLOOKUP($C70,Hidden_Database!$C$11:$I$75,6,FALSE)</f>
        <v>0</v>
      </c>
      <c r="K70" s="345">
        <f t="shared" si="61"/>
        <v>0</v>
      </c>
      <c r="L70" s="345">
        <f t="shared" si="61"/>
        <v>0</v>
      </c>
      <c r="M70" s="345">
        <f t="shared" si="61"/>
        <v>0</v>
      </c>
      <c r="N70" s="345">
        <f>IF(C$7=Hidden_Lists!$C$20,VLOOKUP(C70,Hidden_Database!$C$11:$J$75,8,FALSE)*(D70*E70%)*E37/(365*24),0)</f>
        <v>0</v>
      </c>
      <c r="O70" s="93"/>
      <c r="AC70" s="93"/>
      <c r="AD70" s="90" t="str">
        <f>B70</f>
        <v>Vehicle 4</v>
      </c>
      <c r="AE70" s="317" t="str">
        <f>Input!F133</f>
        <v/>
      </c>
      <c r="AF70" s="323">
        <f>+Input!F134</f>
        <v>0</v>
      </c>
      <c r="AG70" s="329">
        <f>IF($AE$7=Hidden_Lists!$C$19,0,VLOOKUP($C70,Hidden_Lists!$C$23:$D$27,2,FALSE))</f>
        <v>0</v>
      </c>
      <c r="AH70" s="143"/>
      <c r="AI70" s="143"/>
      <c r="AJ70" s="320">
        <f>VLOOKUP($AE70,Hidden_Database!$C$11:$I$75,4,FALSE)</f>
        <v>0</v>
      </c>
      <c r="AK70" s="320">
        <f>VLOOKUP($AE70,Hidden_Database!$C$11:$I$75,5,FALSE)</f>
        <v>0</v>
      </c>
      <c r="AL70" s="321">
        <f>VLOOKUP($AE70,Hidden_Database!$C$11:$I$75,6,FALSE)</f>
        <v>0</v>
      </c>
      <c r="AM70" s="345">
        <f>+AJ70*($AF70*AG70%)*$AG37/(365*24)</f>
        <v>0</v>
      </c>
      <c r="AN70" s="345">
        <f>+AK70*($AF70*AG70%)*$AG37/(365*24)</f>
        <v>0</v>
      </c>
      <c r="AO70" s="345">
        <f>+AL70*($AF70*AG70%)*$AG37/(365*24)</f>
        <v>0</v>
      </c>
      <c r="AP70" s="345">
        <f>IF(AE$7=Hidden_Lists!$C$20,VLOOKUP(AE70,Hidden_Database!$C$11:$J$75,8,FALSE)*(AF70*AG70%)*AG37/(365*24),0)</f>
        <v>0</v>
      </c>
      <c r="AQ70" s="146"/>
      <c r="AR70" s="51"/>
      <c r="AS70" s="274"/>
      <c r="AT70" s="113"/>
      <c r="AU70" s="275"/>
      <c r="AV70" s="275"/>
      <c r="AW70" s="62"/>
      <c r="AX70" s="62"/>
      <c r="AY70" s="62"/>
      <c r="AZ70" s="62"/>
      <c r="BA70" s="111"/>
      <c r="BB70" s="111"/>
      <c r="BC70" s="111"/>
      <c r="BD70" s="142"/>
      <c r="BE70" s="51"/>
      <c r="BF70" s="51"/>
      <c r="BG70" s="51"/>
      <c r="BH70" s="51"/>
      <c r="BI70" s="104"/>
      <c r="BJ70" s="111"/>
      <c r="BK70" s="104"/>
      <c r="BL70" s="104"/>
      <c r="BM70" s="104"/>
      <c r="BN70" s="111"/>
      <c r="BO70" s="146"/>
      <c r="BP70" s="51"/>
      <c r="BQ70" s="274"/>
      <c r="BR70" s="113"/>
      <c r="BS70" s="275"/>
      <c r="BT70" s="275"/>
      <c r="BU70" s="62"/>
      <c r="BV70" s="62"/>
      <c r="BW70" s="62"/>
      <c r="BX70" s="62"/>
      <c r="BY70" s="111"/>
      <c r="BZ70" s="111"/>
      <c r="CA70" s="111"/>
      <c r="CB70" s="142"/>
      <c r="CC70" s="143" t="str">
        <f>B70</f>
        <v>Vehicle 4</v>
      </c>
      <c r="CD70" s="315" t="str">
        <f>Input!F198</f>
        <v/>
      </c>
      <c r="CE70" s="323">
        <f>+Input!F199</f>
        <v>0</v>
      </c>
      <c r="CF70" s="329">
        <f>IF($CD$7=Hidden_Lists!$C$19,0,VLOOKUP($CD70,Hidden_Lists!$C$23:$D$27,2,FALSE))</f>
        <v>0</v>
      </c>
      <c r="CG70" s="143"/>
      <c r="CH70" s="143"/>
      <c r="CI70" s="320">
        <f>VLOOKUP($CD70,Hidden_Database!$C$11:$I$75,4,FALSE)</f>
        <v>0</v>
      </c>
      <c r="CJ70" s="320">
        <f>VLOOKUP($CD70,Hidden_Database!$C$11:$I$75,5,FALSE)</f>
        <v>0</v>
      </c>
      <c r="CK70" s="321">
        <f>VLOOKUP($CD70,Hidden_Database!$C$11:$I$75,6,FALSE)</f>
        <v>0</v>
      </c>
      <c r="CL70" s="345">
        <f t="shared" si="62"/>
        <v>0</v>
      </c>
      <c r="CM70" s="345">
        <f t="shared" si="62"/>
        <v>0</v>
      </c>
      <c r="CN70" s="345">
        <f t="shared" si="62"/>
        <v>0</v>
      </c>
      <c r="CO70" s="345">
        <f>IF(CD$7=Hidden_Lists!$C$20,VLOOKUP(CD70,Hidden_Database!$C$11:$J$75,8,FALSE)*(CE70*CF70%)*CF37/(365*24),0)</f>
        <v>0</v>
      </c>
      <c r="CP70" s="146"/>
      <c r="CQ70" s="41"/>
      <c r="CR70" s="31"/>
      <c r="CS70" s="41"/>
      <c r="CT70" s="31"/>
      <c r="CU70" s="31"/>
      <c r="CV70" s="31"/>
      <c r="CW70" s="31"/>
      <c r="CX70" s="31"/>
      <c r="CY70" s="31"/>
      <c r="CZ70" s="31"/>
      <c r="DA70" s="31"/>
      <c r="DB70" s="31"/>
      <c r="DC70" s="31"/>
      <c r="DD70" s="146"/>
      <c r="DE70" s="143" t="str">
        <f>B70</f>
        <v>Vehicle 4</v>
      </c>
      <c r="DF70" s="315" t="str">
        <f>Input!F246</f>
        <v/>
      </c>
      <c r="DG70" s="323">
        <f>+Input!F247</f>
        <v>0</v>
      </c>
      <c r="DH70" s="329">
        <f>IF($DF$7=Hidden_Lists!$C$19,0,VLOOKUP($DF70,Hidden_Lists!$C$23:$D$27,2,FALSE))</f>
        <v>0</v>
      </c>
      <c r="DI70" s="143"/>
      <c r="DJ70" s="143"/>
      <c r="DK70" s="320">
        <f>VLOOKUP($DF70,Hidden_Database!$C$11:$I$75,4,FALSE)</f>
        <v>0</v>
      </c>
      <c r="DL70" s="320">
        <f>VLOOKUP($DF70,Hidden_Database!$C$11:$I$75,5,FALSE)</f>
        <v>0</v>
      </c>
      <c r="DM70" s="321">
        <f>VLOOKUP($DF70,Hidden_Database!$C$11:$I$75,6,FALSE)</f>
        <v>0</v>
      </c>
      <c r="DN70" s="345">
        <f t="shared" si="63"/>
        <v>0</v>
      </c>
      <c r="DO70" s="345">
        <f t="shared" si="63"/>
        <v>0</v>
      </c>
      <c r="DP70" s="345">
        <f t="shared" si="63"/>
        <v>0</v>
      </c>
      <c r="DQ70" s="345">
        <f>IF(DF$7=Hidden_Lists!$C$20,VLOOKUP(DF70,Hidden_Database!$C$11:$J$75,8,FALSE)*(DG70*DH70%)*DH37/(365*24),0)</f>
        <v>0</v>
      </c>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row>
    <row r="71" spans="2:159">
      <c r="B71" s="90" t="str">
        <f>B38</f>
        <v>Vehicle 5</v>
      </c>
      <c r="C71" s="317" t="str">
        <f>Input!G71</f>
        <v/>
      </c>
      <c r="D71" s="322">
        <f>+Input!G72</f>
        <v>0</v>
      </c>
      <c r="E71" s="328">
        <f>IF($C$7=Hidden_Lists!$C$19,0,VLOOKUP($C71,Hidden_Lists!$C$23:$D$27,2,FALSE))</f>
        <v>0</v>
      </c>
      <c r="F71" s="90"/>
      <c r="G71" s="90"/>
      <c r="H71" s="320">
        <f>VLOOKUP($C71,Hidden_Database!$C$11:$I$75,4,FALSE)</f>
        <v>0</v>
      </c>
      <c r="I71" s="320">
        <f>VLOOKUP($C71,Hidden_Database!$C$11:$I$75,5,FALSE)</f>
        <v>0</v>
      </c>
      <c r="J71" s="321">
        <f>VLOOKUP($C71,Hidden_Database!$C$11:$I$75,6,FALSE)</f>
        <v>0</v>
      </c>
      <c r="K71" s="345">
        <f t="shared" si="61"/>
        <v>0</v>
      </c>
      <c r="L71" s="345">
        <f t="shared" si="61"/>
        <v>0</v>
      </c>
      <c r="M71" s="345">
        <f t="shared" si="61"/>
        <v>0</v>
      </c>
      <c r="N71" s="345">
        <f>IF(C$7=Hidden_Lists!$C$20,VLOOKUP(C71,Hidden_Database!$C$11:$J$75,8,FALSE)*(D71*E71%)*E38/(365*24),0)</f>
        <v>0</v>
      </c>
      <c r="O71" s="93"/>
      <c r="AC71" s="93"/>
      <c r="AD71" s="90" t="str">
        <f>B71</f>
        <v>Vehicle 5</v>
      </c>
      <c r="AE71" s="317" t="str">
        <f>Input!G133</f>
        <v/>
      </c>
      <c r="AF71" s="323">
        <f>+Input!G134</f>
        <v>0</v>
      </c>
      <c r="AG71" s="329">
        <f>IF($AE$7=Hidden_Lists!$C$19,0,VLOOKUP($C71,Hidden_Lists!$C$23:$D$27,2,FALSE))</f>
        <v>0</v>
      </c>
      <c r="AH71" s="143"/>
      <c r="AI71" s="143"/>
      <c r="AJ71" s="320">
        <f>VLOOKUP($AE71,Hidden_Database!$C$11:$I$75,4,FALSE)</f>
        <v>0</v>
      </c>
      <c r="AK71" s="320">
        <f>VLOOKUP($AE71,Hidden_Database!$C$11:$I$75,5,FALSE)</f>
        <v>0</v>
      </c>
      <c r="AL71" s="321">
        <f>VLOOKUP($AE71,Hidden_Database!$C$11:$I$75,6,FALSE)</f>
        <v>0</v>
      </c>
      <c r="AM71" s="345">
        <f>+AJ71*($AF71*AG71%)*$AG38/(365*24)</f>
        <v>0</v>
      </c>
      <c r="AN71" s="345">
        <f>+AK71*($AF71*AG71%)*$AG38/(365*24)</f>
        <v>0</v>
      </c>
      <c r="AO71" s="345">
        <f>+AL71*($AF71*AG71%)*$AG38/(365*24)</f>
        <v>0</v>
      </c>
      <c r="AP71" s="345">
        <f>IF(AE$7=Hidden_Lists!$C$20,VLOOKUP(AE71,Hidden_Database!$C$11:$J$75,8,FALSE)*(AF71*AG71%)*AG38/(365*24),0)</f>
        <v>0</v>
      </c>
      <c r="AQ71" s="146"/>
      <c r="AR71" s="51"/>
      <c r="AS71" s="274"/>
      <c r="AT71" s="113"/>
      <c r="AU71" s="275"/>
      <c r="AV71" s="275"/>
      <c r="AW71" s="62"/>
      <c r="AX71" s="62"/>
      <c r="AY71" s="62"/>
      <c r="AZ71" s="62"/>
      <c r="BA71" s="111"/>
      <c r="BB71" s="111"/>
      <c r="BC71" s="111"/>
      <c r="BD71" s="142"/>
      <c r="BE71" s="51"/>
      <c r="BF71" s="51"/>
      <c r="BG71" s="51"/>
      <c r="BH71" s="51"/>
      <c r="BI71" s="104"/>
      <c r="BJ71" s="111"/>
      <c r="BK71" s="104"/>
      <c r="BL71" s="104"/>
      <c r="BM71" s="104"/>
      <c r="BN71" s="111"/>
      <c r="BO71" s="146"/>
      <c r="BP71" s="51"/>
      <c r="BQ71" s="274"/>
      <c r="BR71" s="113"/>
      <c r="BS71" s="275"/>
      <c r="BT71" s="275"/>
      <c r="BU71" s="62"/>
      <c r="BV71" s="62"/>
      <c r="BW71" s="62"/>
      <c r="BX71" s="62"/>
      <c r="BY71" s="111"/>
      <c r="BZ71" s="111"/>
      <c r="CA71" s="111"/>
      <c r="CB71" s="142"/>
      <c r="CC71" s="143" t="str">
        <f>B71</f>
        <v>Vehicle 5</v>
      </c>
      <c r="CD71" s="315" t="str">
        <f>Input!G198</f>
        <v/>
      </c>
      <c r="CE71" s="323">
        <f>+Input!G199</f>
        <v>0</v>
      </c>
      <c r="CF71" s="329">
        <f>IF($CD$7=Hidden_Lists!$C$19,0,VLOOKUP($CD71,Hidden_Lists!$C$23:$D$27,2,FALSE))</f>
        <v>0</v>
      </c>
      <c r="CG71" s="143"/>
      <c r="CH71" s="143"/>
      <c r="CI71" s="320">
        <f>VLOOKUP($CD71,Hidden_Database!$C$11:$I$75,4,FALSE)</f>
        <v>0</v>
      </c>
      <c r="CJ71" s="320">
        <f>VLOOKUP($CD71,Hidden_Database!$C$11:$I$75,5,FALSE)</f>
        <v>0</v>
      </c>
      <c r="CK71" s="321">
        <f>VLOOKUP($CD71,Hidden_Database!$C$11:$I$75,6,FALSE)</f>
        <v>0</v>
      </c>
      <c r="CL71" s="345">
        <f t="shared" si="62"/>
        <v>0</v>
      </c>
      <c r="CM71" s="345">
        <f t="shared" si="62"/>
        <v>0</v>
      </c>
      <c r="CN71" s="345">
        <f t="shared" si="62"/>
        <v>0</v>
      </c>
      <c r="CO71" s="345">
        <f>IF(CD$7=Hidden_Lists!$C$20,VLOOKUP(CD71,Hidden_Database!$C$11:$J$75,8,FALSE)*(CE71*CF71%)*CF38/(365*24),0)</f>
        <v>0</v>
      </c>
      <c r="CP71" s="146"/>
      <c r="CQ71" s="41"/>
      <c r="CR71" s="31"/>
      <c r="CS71" s="41"/>
      <c r="CT71" s="31"/>
      <c r="CU71" s="31"/>
      <c r="CV71" s="31"/>
      <c r="CW71" s="31"/>
      <c r="CX71" s="31"/>
      <c r="CY71" s="31"/>
      <c r="CZ71" s="31"/>
      <c r="DA71" s="31"/>
      <c r="DB71" s="31"/>
      <c r="DC71" s="31"/>
      <c r="DD71" s="146"/>
      <c r="DE71" s="143" t="str">
        <f>B71</f>
        <v>Vehicle 5</v>
      </c>
      <c r="DF71" s="315" t="str">
        <f>Input!G246</f>
        <v/>
      </c>
      <c r="DG71" s="323">
        <f>+Input!G247</f>
        <v>0</v>
      </c>
      <c r="DH71" s="329">
        <f>IF($DF$7=Hidden_Lists!$C$19,0,VLOOKUP($DF71,Hidden_Lists!$C$23:$D$27,2,FALSE))</f>
        <v>0</v>
      </c>
      <c r="DI71" s="143"/>
      <c r="DJ71" s="143"/>
      <c r="DK71" s="320">
        <f>VLOOKUP($DF71,Hidden_Database!$C$11:$I$75,4,FALSE)</f>
        <v>0</v>
      </c>
      <c r="DL71" s="320">
        <f>VLOOKUP($DF71,Hidden_Database!$C$11:$I$75,5,FALSE)</f>
        <v>0</v>
      </c>
      <c r="DM71" s="321">
        <f>VLOOKUP($DF71,Hidden_Database!$C$11:$I$75,6,FALSE)</f>
        <v>0</v>
      </c>
      <c r="DN71" s="345">
        <f t="shared" si="63"/>
        <v>0</v>
      </c>
      <c r="DO71" s="345">
        <f t="shared" si="63"/>
        <v>0</v>
      </c>
      <c r="DP71" s="345">
        <f t="shared" si="63"/>
        <v>0</v>
      </c>
      <c r="DQ71" s="345">
        <f>IF(DF$7=Hidden_Lists!$C$20,VLOOKUP(DF71,Hidden_Database!$C$11:$J$75,8,FALSE)*(DG71*DH71%)*DH38/(365*24),0)</f>
        <v>0</v>
      </c>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6"/>
      <c r="EU71" s="146"/>
      <c r="EV71" s="146"/>
      <c r="EW71" s="146"/>
      <c r="EX71" s="146"/>
      <c r="EY71" s="146"/>
      <c r="EZ71" s="146"/>
      <c r="FA71" s="146"/>
      <c r="FB71" s="146"/>
      <c r="FC71" s="146"/>
    </row>
    <row r="72" spans="2:159">
      <c r="O72" s="93"/>
      <c r="AC72" s="93"/>
      <c r="AF72" s="146"/>
      <c r="AG72" s="146"/>
      <c r="AH72" s="146"/>
      <c r="AI72" s="97"/>
      <c r="AJ72" s="62"/>
      <c r="AK72" s="62"/>
      <c r="AL72" s="62"/>
      <c r="AM72" s="111"/>
      <c r="AN72" s="111"/>
      <c r="AO72" s="111"/>
      <c r="AP72" s="111"/>
      <c r="AQ72" s="146"/>
      <c r="AR72" s="51"/>
      <c r="AS72" s="274"/>
      <c r="AT72" s="113"/>
      <c r="AU72" s="275"/>
      <c r="AV72" s="275"/>
      <c r="AW72" s="62"/>
      <c r="AX72" s="62"/>
      <c r="AY72" s="62"/>
      <c r="AZ72" s="62"/>
      <c r="BA72" s="111"/>
      <c r="BB72" s="111"/>
      <c r="BC72" s="111"/>
      <c r="BD72" s="142"/>
      <c r="BE72" s="51"/>
      <c r="BF72" s="51"/>
      <c r="BG72" s="51"/>
      <c r="BH72" s="51"/>
      <c r="BI72" s="104"/>
      <c r="BJ72" s="111"/>
      <c r="BK72" s="104"/>
      <c r="BL72" s="104"/>
      <c r="BM72" s="104"/>
      <c r="BN72" s="111"/>
      <c r="BO72" s="146"/>
      <c r="BP72" s="51"/>
      <c r="BQ72" s="274"/>
      <c r="BR72" s="113"/>
      <c r="BS72" s="275"/>
      <c r="BT72" s="275"/>
      <c r="BU72" s="62"/>
      <c r="BV72" s="62"/>
      <c r="BW72" s="62"/>
      <c r="BX72" s="62"/>
      <c r="BY72" s="111"/>
      <c r="BZ72" s="111"/>
      <c r="CA72" s="111"/>
      <c r="CB72" s="142"/>
      <c r="CC72" s="146"/>
      <c r="CD72" s="146"/>
      <c r="CE72" s="146"/>
      <c r="CF72" s="146"/>
      <c r="CG72" s="146"/>
      <c r="CH72" s="146"/>
      <c r="CI72" s="146"/>
      <c r="CJ72" s="146"/>
      <c r="CK72" s="146"/>
      <c r="CL72" s="146"/>
      <c r="CM72" s="146"/>
      <c r="CN72" s="146"/>
      <c r="CO72" s="146"/>
      <c r="CP72" s="146"/>
      <c r="CQ72" s="41"/>
      <c r="CR72" s="31"/>
      <c r="CS72" s="41"/>
      <c r="CT72" s="31"/>
      <c r="CU72" s="31"/>
      <c r="CV72" s="31"/>
      <c r="CW72" s="31"/>
      <c r="CX72" s="31"/>
      <c r="CY72" s="31"/>
      <c r="CZ72" s="31"/>
      <c r="DA72" s="31"/>
      <c r="DB72" s="31"/>
      <c r="DC72" s="31"/>
      <c r="DD72" s="146"/>
      <c r="DE72" s="142"/>
      <c r="DF72" s="142"/>
      <c r="DG72" s="142"/>
      <c r="DH72" s="142"/>
      <c r="DI72" s="142"/>
      <c r="DJ72" s="160"/>
      <c r="DK72" s="153"/>
      <c r="DL72" s="153"/>
      <c r="DM72" s="153"/>
      <c r="DN72" s="154"/>
      <c r="DO72" s="154"/>
      <c r="DP72" s="154"/>
      <c r="DQ72" s="31"/>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row>
    <row r="73" spans="2:159">
      <c r="O73" s="93"/>
      <c r="AC73" s="93"/>
      <c r="AF73" s="146"/>
      <c r="AG73" s="146"/>
      <c r="AH73" s="146"/>
      <c r="AI73" s="97"/>
      <c r="AJ73" s="62"/>
      <c r="AK73" s="62"/>
      <c r="AL73" s="62"/>
      <c r="AM73" s="111"/>
      <c r="AN73" s="111"/>
      <c r="AO73" s="111"/>
      <c r="AP73" s="111"/>
      <c r="AQ73" s="146"/>
      <c r="AR73" s="51"/>
      <c r="AS73" s="274"/>
      <c r="AT73" s="113"/>
      <c r="AU73" s="275"/>
      <c r="AV73" s="275"/>
      <c r="AW73" s="62"/>
      <c r="AX73" s="62"/>
      <c r="AY73" s="62"/>
      <c r="AZ73" s="62"/>
      <c r="BA73" s="111"/>
      <c r="BB73" s="111"/>
      <c r="BC73" s="111"/>
      <c r="BD73" s="142"/>
      <c r="BE73" s="51"/>
      <c r="BF73" s="51"/>
      <c r="BG73" s="51"/>
      <c r="BH73" s="51"/>
      <c r="BI73" s="104"/>
      <c r="BJ73" s="111"/>
      <c r="BK73" s="104"/>
      <c r="BL73" s="104"/>
      <c r="BM73" s="104"/>
      <c r="BN73" s="111"/>
      <c r="BO73" s="146"/>
      <c r="BP73" s="51"/>
      <c r="BQ73" s="274"/>
      <c r="BR73" s="113"/>
      <c r="BS73" s="275"/>
      <c r="BT73" s="275"/>
      <c r="BU73" s="62"/>
      <c r="BV73" s="62"/>
      <c r="BW73" s="62"/>
      <c r="BX73" s="62"/>
      <c r="BY73" s="111"/>
      <c r="BZ73" s="111"/>
      <c r="CA73" s="111"/>
      <c r="CB73" s="142"/>
      <c r="CC73" s="146"/>
      <c r="CD73" s="146"/>
      <c r="CE73" s="146"/>
      <c r="CF73" s="146"/>
      <c r="CG73" s="146"/>
      <c r="CH73" s="146"/>
      <c r="CI73" s="146"/>
      <c r="CJ73" s="146"/>
      <c r="CK73" s="146"/>
      <c r="CL73" s="146"/>
      <c r="CM73" s="146"/>
      <c r="CN73" s="146"/>
      <c r="CO73" s="146"/>
      <c r="CP73" s="146"/>
      <c r="CQ73" s="41"/>
      <c r="CR73" s="31"/>
      <c r="CS73" s="41"/>
      <c r="CT73" s="31"/>
      <c r="CU73" s="31"/>
      <c r="CV73" s="31"/>
      <c r="CW73" s="31"/>
      <c r="CX73" s="31"/>
      <c r="CY73" s="31"/>
      <c r="CZ73" s="31"/>
      <c r="DA73" s="31"/>
      <c r="DB73" s="31"/>
      <c r="DC73" s="31"/>
      <c r="DD73" s="146"/>
      <c r="DE73" s="142"/>
      <c r="DF73" s="142"/>
      <c r="DG73" s="142"/>
      <c r="DH73" s="142"/>
      <c r="DI73" s="142"/>
      <c r="DJ73" s="160"/>
      <c r="DK73" s="153"/>
      <c r="DL73" s="153"/>
      <c r="DM73" s="153"/>
      <c r="DN73" s="154"/>
      <c r="DO73" s="154"/>
      <c r="DP73" s="154"/>
      <c r="DQ73" s="31"/>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row>
    <row r="74" spans="2:159">
      <c r="B74" s="69" t="str">
        <f>VLOOKUP("Hidden_Calculation_Header_8_LCA_Waste",Hidden_Translations!$B$11:$J$1184,Hidden_Translations!$C$8,FALSE)</f>
        <v>#8: LCA: Waste</v>
      </c>
      <c r="C74" s="70"/>
      <c r="D74" s="70"/>
      <c r="E74" s="169"/>
      <c r="F74" s="70"/>
      <c r="G74" s="70"/>
      <c r="H74" s="70"/>
      <c r="I74" s="70"/>
      <c r="J74" s="70"/>
      <c r="K74" s="70"/>
      <c r="L74" s="157"/>
      <c r="M74" s="157"/>
      <c r="N74" s="157"/>
      <c r="O74" s="93"/>
      <c r="P74" s="69" t="str">
        <f>B74</f>
        <v>#8: LCA: Waste</v>
      </c>
      <c r="Q74" s="70"/>
      <c r="R74" s="70"/>
      <c r="S74" s="169"/>
      <c r="T74" s="169"/>
      <c r="U74" s="70"/>
      <c r="V74" s="70"/>
      <c r="W74" s="70"/>
      <c r="X74" s="70"/>
      <c r="Y74" s="70"/>
      <c r="Z74" s="70"/>
      <c r="AA74" s="157"/>
      <c r="AB74" s="157"/>
      <c r="AC74" s="93"/>
      <c r="AD74" s="69" t="str">
        <f>B74</f>
        <v>#8: LCA: Waste</v>
      </c>
      <c r="AE74" s="69"/>
      <c r="AF74" s="69"/>
      <c r="AG74" s="69"/>
      <c r="AH74" s="69"/>
      <c r="AI74" s="69"/>
      <c r="AJ74" s="69"/>
      <c r="AK74" s="69"/>
      <c r="AL74" s="69"/>
      <c r="AM74" s="69"/>
      <c r="AN74" s="69"/>
      <c r="AO74" s="69"/>
      <c r="AP74" s="69"/>
      <c r="AQ74" s="146"/>
      <c r="AR74" s="69" t="str">
        <f>B74</f>
        <v>#8: LCA: Waste</v>
      </c>
      <c r="AS74" s="69"/>
      <c r="AT74" s="69"/>
      <c r="AU74" s="69"/>
      <c r="AV74" s="69"/>
      <c r="AW74" s="69"/>
      <c r="AX74" s="69"/>
      <c r="AY74" s="69"/>
      <c r="AZ74" s="69"/>
      <c r="BA74" s="69"/>
      <c r="BB74" s="69"/>
      <c r="BC74" s="69"/>
      <c r="BD74" s="142"/>
      <c r="BE74" s="69" t="str">
        <f>B74</f>
        <v>#8: LCA: Waste</v>
      </c>
      <c r="BF74" s="69"/>
      <c r="BG74" s="69"/>
      <c r="BH74" s="69"/>
      <c r="BI74" s="69"/>
      <c r="BJ74" s="69"/>
      <c r="BK74" s="69"/>
      <c r="BL74" s="69"/>
      <c r="BM74" s="69"/>
      <c r="BN74" s="69"/>
      <c r="BO74" s="146"/>
      <c r="BP74" s="69" t="str">
        <f>B74</f>
        <v>#8: LCA: Waste</v>
      </c>
      <c r="BQ74" s="69"/>
      <c r="BR74" s="69"/>
      <c r="BS74" s="69"/>
      <c r="BT74" s="69"/>
      <c r="BU74" s="69"/>
      <c r="BV74" s="69"/>
      <c r="BW74" s="69"/>
      <c r="BX74" s="69"/>
      <c r="BY74" s="69"/>
      <c r="BZ74" s="69"/>
      <c r="CA74" s="69"/>
      <c r="CB74" s="142"/>
      <c r="CC74" s="69" t="str">
        <f>B74</f>
        <v>#8: LCA: Waste</v>
      </c>
      <c r="CD74" s="69"/>
      <c r="CE74" s="69"/>
      <c r="CF74" s="69"/>
      <c r="CG74" s="69"/>
      <c r="CH74" s="69"/>
      <c r="CI74" s="69"/>
      <c r="CJ74" s="69"/>
      <c r="CK74" s="69"/>
      <c r="CL74" s="69"/>
      <c r="CM74" s="69"/>
      <c r="CN74" s="69"/>
      <c r="CO74" s="69"/>
      <c r="CP74" s="146"/>
      <c r="CQ74" s="69" t="str">
        <f>B74</f>
        <v>#8: LCA: Waste</v>
      </c>
      <c r="CR74" s="69"/>
      <c r="CS74" s="69"/>
      <c r="CT74" s="69"/>
      <c r="CU74" s="69"/>
      <c r="CV74" s="69"/>
      <c r="CW74" s="69"/>
      <c r="CX74" s="69"/>
      <c r="CY74" s="69"/>
      <c r="CZ74" s="69"/>
      <c r="DA74" s="69"/>
      <c r="DB74" s="69"/>
      <c r="DC74" s="69"/>
      <c r="DD74" s="146"/>
      <c r="DE74" s="69" t="str">
        <f>B74</f>
        <v>#8: LCA: Waste</v>
      </c>
      <c r="DF74" s="69"/>
      <c r="DG74" s="69"/>
      <c r="DH74" s="69"/>
      <c r="DI74" s="69"/>
      <c r="DJ74" s="69"/>
      <c r="DK74" s="69"/>
      <c r="DL74" s="69"/>
      <c r="DM74" s="69"/>
      <c r="DN74" s="69"/>
      <c r="DO74" s="69"/>
      <c r="DP74" s="69"/>
      <c r="DQ74" s="69"/>
      <c r="DR74" s="146"/>
      <c r="DS74" s="69" t="str">
        <f>B74</f>
        <v>#8: LCA: Waste</v>
      </c>
      <c r="DT74" s="173"/>
      <c r="DU74" s="173"/>
      <c r="DV74" s="173"/>
      <c r="DW74" s="173"/>
      <c r="DX74" s="173"/>
      <c r="DY74" s="173"/>
      <c r="DZ74" s="173"/>
      <c r="EA74" s="173"/>
      <c r="EB74" s="172"/>
      <c r="EC74" s="173"/>
      <c r="ED74" s="172"/>
      <c r="EE74" s="172"/>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row>
    <row r="75" spans="2:159">
      <c r="O75" s="93"/>
      <c r="P75" s="137"/>
      <c r="Q75" s="140" t="str">
        <f>Input!B114</f>
        <v>Waste type and disposal</v>
      </c>
      <c r="R75" s="89" t="str">
        <f>D41</f>
        <v>Amount</v>
      </c>
      <c r="S75" s="137" t="str">
        <f>VLOOKUP("Hidden_Calculation_Leakage",Hidden_Translations!$B$11:$J$1184,Hidden_Translations!$C$8,FALSE)</f>
        <v>Leakage</v>
      </c>
      <c r="T75" s="137"/>
      <c r="U75" s="60"/>
      <c r="V75" s="64" t="str">
        <f t="shared" ref="V75:AA76" si="64">V19</f>
        <v>GWP</v>
      </c>
      <c r="W75" s="64" t="str">
        <f t="shared" si="64"/>
        <v>CED</v>
      </c>
      <c r="X75" s="64" t="str">
        <f t="shared" si="64"/>
        <v>AWARE</v>
      </c>
      <c r="Y75" s="64" t="str">
        <f t="shared" si="64"/>
        <v>GWP</v>
      </c>
      <c r="Z75" s="64" t="str">
        <f t="shared" si="64"/>
        <v>CED</v>
      </c>
      <c r="AA75" s="64" t="str">
        <f t="shared" si="64"/>
        <v>AWARE</v>
      </c>
      <c r="AB75" s="91"/>
      <c r="AC75" s="93"/>
      <c r="AF75" s="146"/>
      <c r="AG75" s="146"/>
      <c r="AH75" s="146"/>
      <c r="AI75" s="97"/>
      <c r="AJ75" s="62"/>
      <c r="AK75" s="62"/>
      <c r="AL75" s="62"/>
      <c r="AM75" s="111"/>
      <c r="AN75" s="111"/>
      <c r="AO75" s="111"/>
      <c r="AP75" s="111"/>
      <c r="AQ75" s="146"/>
      <c r="AR75" s="51"/>
      <c r="AS75" s="274"/>
      <c r="AT75" s="113"/>
      <c r="AU75" s="275"/>
      <c r="AV75" s="275"/>
      <c r="AW75" s="62"/>
      <c r="AX75" s="62"/>
      <c r="AY75" s="62"/>
      <c r="AZ75" s="62"/>
      <c r="BA75" s="111"/>
      <c r="BB75" s="111"/>
      <c r="BC75" s="111"/>
      <c r="BD75" s="142"/>
      <c r="BE75" s="51"/>
      <c r="BF75" s="51"/>
      <c r="BG75" s="51"/>
      <c r="BH75" s="51"/>
      <c r="BI75" s="104"/>
      <c r="BJ75" s="111"/>
      <c r="BK75" s="104"/>
      <c r="BL75" s="104"/>
      <c r="BM75" s="104"/>
      <c r="BN75" s="111"/>
      <c r="BO75" s="146"/>
      <c r="BP75" s="51"/>
      <c r="BQ75" s="274"/>
      <c r="BR75" s="113"/>
      <c r="BS75" s="275"/>
      <c r="BT75" s="275"/>
      <c r="BU75" s="62"/>
      <c r="BV75" s="62"/>
      <c r="BW75" s="62"/>
      <c r="BX75" s="62"/>
      <c r="BY75" s="111"/>
      <c r="BZ75" s="111"/>
      <c r="CA75" s="111"/>
      <c r="CB75" s="142"/>
      <c r="CC75" s="146"/>
      <c r="CD75" s="146"/>
      <c r="CE75" s="146"/>
      <c r="CF75" s="146"/>
      <c r="CG75" s="146"/>
      <c r="CH75" s="146"/>
      <c r="CI75" s="146"/>
      <c r="CJ75" s="146"/>
      <c r="CK75" s="146"/>
      <c r="CL75" s="146"/>
      <c r="CM75" s="146"/>
      <c r="CN75" s="146"/>
      <c r="CO75" s="146"/>
      <c r="CP75" s="146"/>
      <c r="CQ75" s="137"/>
      <c r="CR75" s="140" t="str">
        <f>Q75</f>
        <v>Waste type and disposal</v>
      </c>
      <c r="CS75" s="89" t="str">
        <f>R75</f>
        <v>Amount</v>
      </c>
      <c r="CT75" s="140" t="str">
        <f>S75</f>
        <v>Leakage</v>
      </c>
      <c r="CU75" s="140"/>
      <c r="CV75" s="64"/>
      <c r="CW75" s="64" t="str">
        <f t="shared" ref="CW75:DB76" si="65">V75</f>
        <v>GWP</v>
      </c>
      <c r="CX75" s="64" t="str">
        <f t="shared" si="65"/>
        <v>CED</v>
      </c>
      <c r="CY75" s="64" t="str">
        <f t="shared" si="65"/>
        <v>AWARE</v>
      </c>
      <c r="CZ75" s="64" t="str">
        <f t="shared" si="65"/>
        <v>GWP</v>
      </c>
      <c r="DA75" s="64" t="str">
        <f t="shared" si="65"/>
        <v>CED</v>
      </c>
      <c r="DB75" s="64" t="str">
        <f t="shared" si="65"/>
        <v>AWARE</v>
      </c>
      <c r="DC75" s="31"/>
      <c r="DD75" s="146"/>
      <c r="DE75" s="142"/>
      <c r="DF75" s="142"/>
      <c r="DG75" s="142"/>
      <c r="DH75" s="142"/>
      <c r="DI75" s="142"/>
      <c r="DJ75" s="160"/>
      <c r="DK75" s="153"/>
      <c r="DL75" s="153"/>
      <c r="DM75" s="153"/>
      <c r="DN75" s="154"/>
      <c r="DO75" s="154"/>
      <c r="DP75" s="154"/>
      <c r="DQ75" s="31"/>
      <c r="DR75" s="146"/>
      <c r="DS75" s="137"/>
      <c r="DT75" s="140" t="str">
        <f>Q75</f>
        <v>Waste type and disposal</v>
      </c>
      <c r="DU75" s="140" t="str">
        <f>R75</f>
        <v>Amount</v>
      </c>
      <c r="DV75" s="140" t="str">
        <f>S75</f>
        <v>Leakage</v>
      </c>
      <c r="DW75" s="140"/>
      <c r="DX75" s="140"/>
      <c r="DY75" s="140" t="str">
        <f t="shared" ref="DY75:ED76" si="66">V75</f>
        <v>GWP</v>
      </c>
      <c r="DZ75" s="140" t="str">
        <f t="shared" si="66"/>
        <v>CED</v>
      </c>
      <c r="EA75" s="140" t="str">
        <f t="shared" si="66"/>
        <v>AWARE</v>
      </c>
      <c r="EB75" s="140" t="str">
        <f t="shared" si="66"/>
        <v>GWP</v>
      </c>
      <c r="EC75" s="140" t="str">
        <f t="shared" si="66"/>
        <v>CED</v>
      </c>
      <c r="ED75" s="140" t="str">
        <f t="shared" si="66"/>
        <v>AWARE</v>
      </c>
      <c r="EE75" s="31"/>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row>
    <row r="76" spans="2:159" ht="15" customHeight="1">
      <c r="O76" s="93"/>
      <c r="S76" s="168"/>
      <c r="T76" s="168"/>
      <c r="V76" s="64" t="str">
        <f t="shared" si="64"/>
        <v>[kg CO2 eq/unit]</v>
      </c>
      <c r="W76" s="64" t="str">
        <f t="shared" si="64"/>
        <v>[MJ/unit]</v>
      </c>
      <c r="X76" s="64" t="str">
        <f t="shared" si="64"/>
        <v>[m³ eq/unit]</v>
      </c>
      <c r="Y76" s="64" t="str">
        <f t="shared" si="64"/>
        <v>[kg CO2 eq.]</v>
      </c>
      <c r="Z76" s="64" t="str">
        <f t="shared" si="64"/>
        <v>[MJ]</v>
      </c>
      <c r="AA76" s="64" t="str">
        <f t="shared" si="64"/>
        <v>[m³]</v>
      </c>
      <c r="AB76" s="64"/>
      <c r="AC76" s="93"/>
      <c r="AF76" s="146"/>
      <c r="AG76" s="146"/>
      <c r="AH76" s="146"/>
      <c r="AI76" s="97"/>
      <c r="AJ76" s="62"/>
      <c r="AK76" s="62"/>
      <c r="AL76" s="62"/>
      <c r="AM76" s="111"/>
      <c r="AN76" s="111"/>
      <c r="AO76" s="111"/>
      <c r="AP76" s="111"/>
      <c r="AQ76" s="146"/>
      <c r="AR76" s="51"/>
      <c r="AS76" s="274"/>
      <c r="AT76" s="113"/>
      <c r="AU76" s="275"/>
      <c r="AV76" s="275"/>
      <c r="AW76" s="62"/>
      <c r="AX76" s="62"/>
      <c r="AY76" s="62"/>
      <c r="AZ76" s="62"/>
      <c r="BA76" s="111"/>
      <c r="BB76" s="111"/>
      <c r="BC76" s="111"/>
      <c r="BE76" s="51"/>
      <c r="BF76" s="51"/>
      <c r="BG76" s="51"/>
      <c r="BH76" s="51"/>
      <c r="BI76" s="104"/>
      <c r="BJ76" s="111"/>
      <c r="BK76" s="104"/>
      <c r="BL76" s="104"/>
      <c r="BM76" s="104"/>
      <c r="BN76" s="111"/>
      <c r="BP76" s="51"/>
      <c r="BQ76" s="274"/>
      <c r="BR76" s="113"/>
      <c r="BS76" s="275"/>
      <c r="BT76" s="275"/>
      <c r="BU76" s="62"/>
      <c r="BV76" s="62"/>
      <c r="BW76" s="62"/>
      <c r="BX76" s="62"/>
      <c r="BY76" s="111"/>
      <c r="BZ76" s="111"/>
      <c r="CA76" s="111"/>
      <c r="CB76" s="142"/>
      <c r="CC76" s="146"/>
      <c r="CD76" s="146"/>
      <c r="CE76" s="146"/>
      <c r="CF76" s="146"/>
      <c r="CG76" s="146"/>
      <c r="CH76" s="146"/>
      <c r="CI76" s="146"/>
      <c r="CJ76" s="146"/>
      <c r="CK76" s="146"/>
      <c r="CL76" s="146"/>
      <c r="CM76" s="146"/>
      <c r="CN76" s="146"/>
      <c r="CO76" s="146"/>
      <c r="CP76" s="146"/>
      <c r="CQ76" s="31"/>
      <c r="CR76" s="31"/>
      <c r="CS76" s="31"/>
      <c r="CT76" s="174"/>
      <c r="CU76" s="174"/>
      <c r="CV76" s="153"/>
      <c r="CW76" s="64" t="str">
        <f t="shared" si="65"/>
        <v>[kg CO2 eq/unit]</v>
      </c>
      <c r="CX76" s="64" t="str">
        <f t="shared" si="65"/>
        <v>[MJ/unit]</v>
      </c>
      <c r="CY76" s="64" t="str">
        <f t="shared" si="65"/>
        <v>[m³ eq/unit]</v>
      </c>
      <c r="CZ76" s="64" t="str">
        <f t="shared" si="65"/>
        <v>[kg CO2 eq.]</v>
      </c>
      <c r="DA76" s="64" t="str">
        <f t="shared" si="65"/>
        <v>[MJ]</v>
      </c>
      <c r="DB76" s="64" t="str">
        <f t="shared" si="65"/>
        <v>[m³]</v>
      </c>
      <c r="DC76" s="31"/>
      <c r="DD76" s="146"/>
      <c r="DE76" s="142"/>
      <c r="DF76" s="142"/>
      <c r="DG76" s="142"/>
      <c r="DH76" s="142"/>
      <c r="DI76" s="142"/>
      <c r="DJ76" s="160"/>
      <c r="DK76" s="153"/>
      <c r="DL76" s="153"/>
      <c r="DM76" s="153"/>
      <c r="DN76" s="154"/>
      <c r="DO76" s="154"/>
      <c r="DP76" s="154"/>
      <c r="DQ76" s="31"/>
      <c r="DR76" s="146"/>
      <c r="DS76" s="31"/>
      <c r="DT76" s="31"/>
      <c r="DU76" s="31"/>
      <c r="DV76" s="174"/>
      <c r="DW76" s="174"/>
      <c r="DX76" s="153"/>
      <c r="DY76" s="140" t="str">
        <f t="shared" si="66"/>
        <v>[kg CO2 eq/unit]</v>
      </c>
      <c r="DZ76" s="140" t="str">
        <f t="shared" si="66"/>
        <v>[MJ/unit]</v>
      </c>
      <c r="EA76" s="140" t="str">
        <f t="shared" si="66"/>
        <v>[m³ eq/unit]</v>
      </c>
      <c r="EB76" s="140" t="str">
        <f t="shared" si="66"/>
        <v>[kg CO2 eq.]</v>
      </c>
      <c r="EC76" s="140" t="str">
        <f t="shared" si="66"/>
        <v>[MJ]</v>
      </c>
      <c r="ED76" s="140" t="str">
        <f t="shared" si="66"/>
        <v>[m³]</v>
      </c>
      <c r="EE76" s="31"/>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row>
    <row r="77" spans="2:159">
      <c r="D77" s="28"/>
      <c r="O77" s="93"/>
      <c r="P77" s="90" t="str">
        <f>Input!D113</f>
        <v>Waste 1</v>
      </c>
      <c r="Q77" s="317" t="str">
        <f>+Input!D114</f>
        <v/>
      </c>
      <c r="R77" s="317">
        <f>+Input!D115</f>
        <v>0</v>
      </c>
      <c r="S77" s="90" t="str">
        <f>+Input!D116</f>
        <v/>
      </c>
      <c r="T77" s="90"/>
      <c r="U77" s="90"/>
      <c r="V77" s="320">
        <f>VLOOKUP($Q77,Hidden_Database!$C$11:$I$75,4,FALSE)</f>
        <v>0</v>
      </c>
      <c r="W77" s="320">
        <f>VLOOKUP($Q77,Hidden_Database!$C$11:$I$75,5,FALSE)</f>
        <v>0</v>
      </c>
      <c r="X77" s="321">
        <f>VLOOKUP($Q77,Hidden_Database!$C$11:$I$75,6,FALSE)</f>
        <v>0</v>
      </c>
      <c r="Y77" s="345" t="e">
        <f>$R77*V77/(Input!$F$92/Input!$F$91)</f>
        <v>#DIV/0!</v>
      </c>
      <c r="Z77" s="345" t="e">
        <f>$R77*W77/(Input!$F$92/Input!$F$91)</f>
        <v>#DIV/0!</v>
      </c>
      <c r="AA77" s="345" t="e">
        <f>$R77*X77/(Input!$F$92/Input!$F$91)</f>
        <v>#DIV/0!</v>
      </c>
      <c r="AB77" s="93"/>
      <c r="AC77" s="93"/>
      <c r="AF77" s="146"/>
      <c r="AG77" s="146"/>
      <c r="AH77" s="146"/>
      <c r="AI77" s="97"/>
      <c r="AJ77" s="62"/>
      <c r="AK77" s="62"/>
      <c r="AL77" s="62"/>
      <c r="AM77" s="111"/>
      <c r="AN77" s="111"/>
      <c r="AO77" s="111"/>
      <c r="AP77" s="111"/>
      <c r="AQ77" s="146"/>
      <c r="AR77" s="51"/>
      <c r="AS77" s="274"/>
      <c r="AT77" s="113"/>
      <c r="AU77" s="275"/>
      <c r="AV77" s="275"/>
      <c r="AW77" s="62"/>
      <c r="AX77" s="62"/>
      <c r="AY77" s="62"/>
      <c r="AZ77" s="62"/>
      <c r="BA77" s="111"/>
      <c r="BB77" s="111"/>
      <c r="BC77" s="111"/>
      <c r="BD77" s="142"/>
      <c r="BE77" s="51"/>
      <c r="BF77" s="51"/>
      <c r="BG77" s="51"/>
      <c r="BH77" s="51"/>
      <c r="BI77" s="104"/>
      <c r="BJ77" s="111"/>
      <c r="BK77" s="104"/>
      <c r="BL77" s="104"/>
      <c r="BM77" s="104"/>
      <c r="BN77" s="111"/>
      <c r="BO77" s="146"/>
      <c r="BP77" s="51"/>
      <c r="BQ77" s="274"/>
      <c r="BR77" s="113"/>
      <c r="BS77" s="275"/>
      <c r="BT77" s="275"/>
      <c r="BU77" s="62"/>
      <c r="BV77" s="62"/>
      <c r="BW77" s="62"/>
      <c r="BX77" s="62"/>
      <c r="BY77" s="111"/>
      <c r="BZ77" s="111"/>
      <c r="CA77" s="111"/>
      <c r="CB77" s="142"/>
      <c r="CC77" s="146"/>
      <c r="CD77" s="146"/>
      <c r="CE77" s="146"/>
      <c r="CF77" s="146"/>
      <c r="CG77" s="146"/>
      <c r="CH77" s="146"/>
      <c r="CI77" s="146"/>
      <c r="CJ77" s="146"/>
      <c r="CK77" s="146"/>
      <c r="CL77" s="146"/>
      <c r="CM77" s="146"/>
      <c r="CN77" s="146"/>
      <c r="CO77" s="146"/>
      <c r="CP77" s="146"/>
      <c r="CQ77" s="175" t="str">
        <f>P77</f>
        <v>Waste 1</v>
      </c>
      <c r="CR77" s="316" t="str">
        <f>+Input!D227</f>
        <v/>
      </c>
      <c r="CS77" s="316">
        <f>+Input!D228</f>
        <v>0</v>
      </c>
      <c r="CT77" s="151" t="str">
        <f>+Input!D229</f>
        <v/>
      </c>
      <c r="CU77" s="151"/>
      <c r="CV77" s="153"/>
      <c r="CW77" s="319">
        <f>VLOOKUP($CR77,Hidden_Database!$C$11:$I$75,4,FALSE)</f>
        <v>0</v>
      </c>
      <c r="CX77" s="319">
        <f>VLOOKUP($CR77,Hidden_Database!$C$11:$I$75,5,FALSE)</f>
        <v>0</v>
      </c>
      <c r="CY77" s="330">
        <f>VLOOKUP($CR77,Hidden_Database!$C$11:$I$75,6,FALSE)</f>
        <v>0</v>
      </c>
      <c r="CZ77" s="350" t="e">
        <f>$CS77*CW77/(Input!$F$213/Input!$F$91)</f>
        <v>#DIV/0!</v>
      </c>
      <c r="DA77" s="350" t="e">
        <f>$CS77*CX77/(Input!$F$213/Input!$F$91)</f>
        <v>#DIV/0!</v>
      </c>
      <c r="DB77" s="350" t="e">
        <f>$CS77*CY77/(Input!$F$213/Input!$F$91)</f>
        <v>#DIV/0!</v>
      </c>
      <c r="DC77" s="31"/>
      <c r="DD77" s="146"/>
      <c r="DE77" s="142"/>
      <c r="DF77" s="142"/>
      <c r="DG77" s="142"/>
      <c r="DH77" s="142"/>
      <c r="DI77" s="142"/>
      <c r="DJ77" s="160"/>
      <c r="DK77" s="153"/>
      <c r="DL77" s="153"/>
      <c r="DM77" s="153"/>
      <c r="DN77" s="154"/>
      <c r="DO77" s="154"/>
      <c r="DP77" s="154"/>
      <c r="DQ77" s="31"/>
      <c r="DR77" s="146"/>
      <c r="DS77" s="175" t="str">
        <f>P77</f>
        <v>Waste 1</v>
      </c>
      <c r="DT77" s="316" t="str">
        <f>+Input!D275</f>
        <v/>
      </c>
      <c r="DU77" s="316">
        <f>+Input!D276</f>
        <v>0</v>
      </c>
      <c r="DV77" s="151" t="str">
        <f>Input!D277</f>
        <v/>
      </c>
      <c r="DW77" s="151"/>
      <c r="DX77" s="153"/>
      <c r="DY77" s="319">
        <f>VLOOKUP($DT77,Hidden_Database!$C$11:$I$75,4,FALSE)</f>
        <v>0</v>
      </c>
      <c r="DZ77" s="319">
        <f>VLOOKUP($DT77,Hidden_Database!$C$11:$I$75,5,FALSE)</f>
        <v>0</v>
      </c>
      <c r="EA77" s="330">
        <f>VLOOKUP($DT77,Hidden_Database!$C$11:$I$75,6,FALSE)</f>
        <v>0</v>
      </c>
      <c r="EB77" s="350" t="e">
        <f>$DU77*DY77/(Input!$F$261/$CS$90)</f>
        <v>#DIV/0!</v>
      </c>
      <c r="EC77" s="350" t="e">
        <f>$DU77*DZ77/(Input!$F$261/$CS$90)</f>
        <v>#DIV/0!</v>
      </c>
      <c r="ED77" s="350" t="e">
        <f>$DU77*EA77/(Input!$F$261/$CS$90)</f>
        <v>#DIV/0!</v>
      </c>
      <c r="EE77" s="31"/>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row>
    <row r="78" spans="2:159">
      <c r="O78" s="93"/>
      <c r="P78" s="90" t="str">
        <f>Input!E113</f>
        <v>Waste 2</v>
      </c>
      <c r="Q78" s="317" t="str">
        <f>+Input!E114</f>
        <v/>
      </c>
      <c r="R78" s="317">
        <f>+Input!E115</f>
        <v>0</v>
      </c>
      <c r="S78" s="90" t="str">
        <f>+Input!E116</f>
        <v/>
      </c>
      <c r="T78" s="90"/>
      <c r="U78" s="90"/>
      <c r="V78" s="320">
        <f>VLOOKUP($Q78,Hidden_Database!$C$11:$I$75,4,FALSE)</f>
        <v>0</v>
      </c>
      <c r="W78" s="320">
        <f>VLOOKUP($Q78,Hidden_Database!$C$11:$I$75,5,FALSE)</f>
        <v>0</v>
      </c>
      <c r="X78" s="321">
        <f>VLOOKUP($Q78,Hidden_Database!$C$11:$I$75,6,FALSE)</f>
        <v>0</v>
      </c>
      <c r="Y78" s="345" t="e">
        <f>$R78*V78/(Input!$F$92/Input!$F$91)</f>
        <v>#DIV/0!</v>
      </c>
      <c r="Z78" s="345" t="e">
        <f>$R78*W78/(Input!$F$92/Input!$F$91)</f>
        <v>#DIV/0!</v>
      </c>
      <c r="AA78" s="345" t="e">
        <f>$R78*X78/(Input!$F$92/Input!$F$91)</f>
        <v>#DIV/0!</v>
      </c>
      <c r="AB78" s="93"/>
      <c r="AC78" s="93"/>
      <c r="AF78" s="146"/>
      <c r="AG78" s="146"/>
      <c r="AH78" s="146"/>
      <c r="AI78" s="97"/>
      <c r="AJ78" s="62"/>
      <c r="AK78" s="62"/>
      <c r="AL78" s="62"/>
      <c r="AM78" s="111"/>
      <c r="AN78" s="111"/>
      <c r="AO78" s="111"/>
      <c r="AP78" s="111"/>
      <c r="AQ78" s="146"/>
      <c r="AR78" s="51"/>
      <c r="AS78" s="274"/>
      <c r="AT78" s="113"/>
      <c r="AU78" s="275"/>
      <c r="AV78" s="275"/>
      <c r="AW78" s="62"/>
      <c r="AX78" s="62"/>
      <c r="AY78" s="62"/>
      <c r="AZ78" s="62"/>
      <c r="BA78" s="111"/>
      <c r="BB78" s="111"/>
      <c r="BC78" s="111"/>
      <c r="BD78" s="142"/>
      <c r="BE78" s="51"/>
      <c r="BF78" s="51"/>
      <c r="BG78" s="51"/>
      <c r="BH78" s="51"/>
      <c r="BI78" s="104"/>
      <c r="BJ78" s="111"/>
      <c r="BK78" s="104"/>
      <c r="BL78" s="104"/>
      <c r="BM78" s="104"/>
      <c r="BN78" s="111"/>
      <c r="BO78" s="146"/>
      <c r="BP78" s="51"/>
      <c r="BQ78" s="274"/>
      <c r="BR78" s="113"/>
      <c r="BS78" s="275"/>
      <c r="BT78" s="275"/>
      <c r="BU78" s="62"/>
      <c r="BV78" s="62"/>
      <c r="BW78" s="62"/>
      <c r="BX78" s="62"/>
      <c r="BY78" s="111"/>
      <c r="BZ78" s="111"/>
      <c r="CA78" s="111"/>
      <c r="CB78" s="142"/>
      <c r="CC78" s="146"/>
      <c r="CD78" s="146"/>
      <c r="CE78" s="146"/>
      <c r="CF78" s="146"/>
      <c r="CG78" s="146"/>
      <c r="CH78" s="146"/>
      <c r="CI78" s="146"/>
      <c r="CJ78" s="146"/>
      <c r="CK78" s="146"/>
      <c r="CL78" s="146"/>
      <c r="CM78" s="146"/>
      <c r="CN78" s="146"/>
      <c r="CO78" s="146"/>
      <c r="CP78" s="146"/>
      <c r="CQ78" s="175" t="str">
        <f>P78</f>
        <v>Waste 2</v>
      </c>
      <c r="CR78" s="316" t="str">
        <f>+Input!E227</f>
        <v/>
      </c>
      <c r="CS78" s="316">
        <f>+Input!E228</f>
        <v>0</v>
      </c>
      <c r="CT78" s="151" t="str">
        <f>+Input!E229</f>
        <v/>
      </c>
      <c r="CU78" s="151"/>
      <c r="CV78" s="153"/>
      <c r="CW78" s="319">
        <f>VLOOKUP($CR78,Hidden_Database!$C$11:$I$75,4,FALSE)</f>
        <v>0</v>
      </c>
      <c r="CX78" s="319">
        <f>VLOOKUP($CR78,Hidden_Database!$C$11:$I$75,5,FALSE)</f>
        <v>0</v>
      </c>
      <c r="CY78" s="330">
        <f>VLOOKUP($CR78,Hidden_Database!$C$11:$I$75,6,FALSE)</f>
        <v>0</v>
      </c>
      <c r="CZ78" s="350" t="e">
        <f>$CS78*CW78/(Input!$F$213/Input!$F$91)</f>
        <v>#DIV/0!</v>
      </c>
      <c r="DA78" s="350" t="e">
        <f>$CS78*CX78/(Input!$F$213/Input!$F$91)</f>
        <v>#DIV/0!</v>
      </c>
      <c r="DB78" s="350" t="e">
        <f>$CS78*CY78/(Input!$F$213/Input!$F$91)</f>
        <v>#DIV/0!</v>
      </c>
      <c r="DC78" s="31"/>
      <c r="DD78" s="146"/>
      <c r="DE78" s="142"/>
      <c r="DF78" s="142"/>
      <c r="DG78" s="142"/>
      <c r="DH78" s="142"/>
      <c r="DI78" s="142"/>
      <c r="DJ78" s="160"/>
      <c r="DK78" s="153"/>
      <c r="DL78" s="153"/>
      <c r="DM78" s="153"/>
      <c r="DN78" s="154"/>
      <c r="DO78" s="154"/>
      <c r="DP78" s="154"/>
      <c r="DQ78" s="31"/>
      <c r="DR78" s="146"/>
      <c r="DS78" s="175" t="str">
        <f>P78</f>
        <v>Waste 2</v>
      </c>
      <c r="DT78" s="316" t="str">
        <f>+Input!E275</f>
        <v/>
      </c>
      <c r="DU78" s="316">
        <f>+Input!E276</f>
        <v>0</v>
      </c>
      <c r="DV78" s="151">
        <f>Input!E277</f>
        <v>0</v>
      </c>
      <c r="DW78" s="151"/>
      <c r="DX78" s="153"/>
      <c r="DY78" s="319">
        <f>VLOOKUP($DT78,Hidden_Database!$C$11:$I$75,4,FALSE)</f>
        <v>0</v>
      </c>
      <c r="DZ78" s="319">
        <f>VLOOKUP($DT78,Hidden_Database!$C$11:$I$75,5,FALSE)</f>
        <v>0</v>
      </c>
      <c r="EA78" s="330">
        <f>VLOOKUP($DT78,Hidden_Database!$C$11:$I$75,6,FALSE)</f>
        <v>0</v>
      </c>
      <c r="EB78" s="350" t="e">
        <f>$DU78*DY78/(Input!$F$261/$CS$90)</f>
        <v>#DIV/0!</v>
      </c>
      <c r="EC78" s="350" t="e">
        <f>$DU78*DZ78/(Input!$F$261/$CS$90)</f>
        <v>#DIV/0!</v>
      </c>
      <c r="ED78" s="350" t="e">
        <f>$DU78*EA78/(Input!$F$261/$CS$90)</f>
        <v>#DIV/0!</v>
      </c>
      <c r="EE78" s="31"/>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row>
    <row r="79" spans="2:159">
      <c r="O79" s="93"/>
      <c r="P79" s="90" t="str">
        <f>Input!F113</f>
        <v>Waste 3</v>
      </c>
      <c r="Q79" s="317" t="str">
        <f>+Input!F114</f>
        <v/>
      </c>
      <c r="R79" s="317">
        <f>+Input!F115</f>
        <v>0</v>
      </c>
      <c r="S79" s="90" t="str">
        <f>+Input!F116</f>
        <v/>
      </c>
      <c r="T79" s="90"/>
      <c r="U79" s="90"/>
      <c r="V79" s="320">
        <f>VLOOKUP($Q79,Hidden_Database!$C$11:$I$75,4,FALSE)</f>
        <v>0</v>
      </c>
      <c r="W79" s="320">
        <f>VLOOKUP($Q79,Hidden_Database!$C$11:$I$75,5,FALSE)</f>
        <v>0</v>
      </c>
      <c r="X79" s="321">
        <f>VLOOKUP($Q79,Hidden_Database!$C$11:$I$75,6,FALSE)</f>
        <v>0</v>
      </c>
      <c r="Y79" s="345" t="e">
        <f>$R79*V79/(Input!$F$92/Input!$F$91)</f>
        <v>#DIV/0!</v>
      </c>
      <c r="Z79" s="345" t="e">
        <f>$R79*W79/(Input!$F$92/Input!$F$91)</f>
        <v>#DIV/0!</v>
      </c>
      <c r="AA79" s="345" t="e">
        <f>$R79*X79/(Input!$F$92/Input!$F$91)</f>
        <v>#DIV/0!</v>
      </c>
      <c r="AB79" s="93"/>
      <c r="AC79" s="93"/>
      <c r="AF79" s="146"/>
      <c r="AG79" s="146"/>
      <c r="AH79" s="146"/>
      <c r="AI79" s="97"/>
      <c r="AJ79" s="62"/>
      <c r="AK79" s="62"/>
      <c r="AL79" s="62"/>
      <c r="AM79" s="111"/>
      <c r="AN79" s="111"/>
      <c r="AO79" s="111"/>
      <c r="AP79" s="111"/>
      <c r="AQ79" s="146"/>
      <c r="AR79" s="51"/>
      <c r="AS79" s="274"/>
      <c r="AT79" s="113"/>
      <c r="AU79" s="275"/>
      <c r="AV79" s="275"/>
      <c r="AW79" s="62"/>
      <c r="AX79" s="62"/>
      <c r="AY79" s="62"/>
      <c r="AZ79" s="62"/>
      <c r="BA79" s="111"/>
      <c r="BB79" s="111"/>
      <c r="BC79" s="111"/>
      <c r="BD79" s="142"/>
      <c r="BE79" s="51"/>
      <c r="BF79" s="51"/>
      <c r="BG79" s="51"/>
      <c r="BH79" s="51"/>
      <c r="BI79" s="104"/>
      <c r="BJ79" s="111"/>
      <c r="BK79" s="104"/>
      <c r="BL79" s="104"/>
      <c r="BM79" s="104"/>
      <c r="BN79" s="111"/>
      <c r="BO79" s="146"/>
      <c r="BP79" s="51"/>
      <c r="BQ79" s="274"/>
      <c r="BR79" s="113"/>
      <c r="BS79" s="275"/>
      <c r="BT79" s="275"/>
      <c r="BU79" s="62"/>
      <c r="BV79" s="62"/>
      <c r="BW79" s="62"/>
      <c r="BX79" s="62"/>
      <c r="BY79" s="111"/>
      <c r="BZ79" s="111"/>
      <c r="CA79" s="111"/>
      <c r="CB79" s="142"/>
      <c r="CC79" s="146"/>
      <c r="CD79" s="146"/>
      <c r="CE79" s="146"/>
      <c r="CF79" s="146"/>
      <c r="CG79" s="146"/>
      <c r="CH79" s="146"/>
      <c r="CI79" s="146"/>
      <c r="CJ79" s="146"/>
      <c r="CK79" s="146"/>
      <c r="CL79" s="146"/>
      <c r="CM79" s="146"/>
      <c r="CN79" s="146"/>
      <c r="CO79" s="146"/>
      <c r="CP79" s="146"/>
      <c r="CQ79" s="175" t="str">
        <f>P79</f>
        <v>Waste 3</v>
      </c>
      <c r="CR79" s="316" t="str">
        <f>+Input!F227</f>
        <v/>
      </c>
      <c r="CS79" s="316">
        <f>+Input!F228</f>
        <v>0</v>
      </c>
      <c r="CT79" s="151" t="str">
        <f>+Input!F229</f>
        <v/>
      </c>
      <c r="CU79" s="151"/>
      <c r="CV79" s="153"/>
      <c r="CW79" s="319">
        <f>VLOOKUP($CR79,Hidden_Database!$C$11:$I$75,4,FALSE)</f>
        <v>0</v>
      </c>
      <c r="CX79" s="319">
        <f>VLOOKUP($CR79,Hidden_Database!$C$11:$I$75,5,FALSE)</f>
        <v>0</v>
      </c>
      <c r="CY79" s="330">
        <f>VLOOKUP($CR79,Hidden_Database!$C$11:$I$75,6,FALSE)</f>
        <v>0</v>
      </c>
      <c r="CZ79" s="350" t="e">
        <f>$CS79*CW79/(Input!$F$213/Input!$F$91)</f>
        <v>#DIV/0!</v>
      </c>
      <c r="DA79" s="350" t="e">
        <f>$CS79*CX79/(Input!$F$213/Input!$F$91)</f>
        <v>#DIV/0!</v>
      </c>
      <c r="DB79" s="350" t="e">
        <f>$CS79*CY79/(Input!$F$213/Input!$F$91)</f>
        <v>#DIV/0!</v>
      </c>
      <c r="DC79" s="31"/>
      <c r="DD79" s="146"/>
      <c r="DE79" s="142"/>
      <c r="DF79" s="142"/>
      <c r="DG79" s="142"/>
      <c r="DH79" s="142"/>
      <c r="DI79" s="142"/>
      <c r="DJ79" s="160"/>
      <c r="DK79" s="153"/>
      <c r="DL79" s="153"/>
      <c r="DM79" s="153"/>
      <c r="DN79" s="154"/>
      <c r="DO79" s="154"/>
      <c r="DP79" s="154"/>
      <c r="DQ79" s="31"/>
      <c r="DR79" s="146"/>
      <c r="DS79" s="175" t="str">
        <f>P79</f>
        <v>Waste 3</v>
      </c>
      <c r="DT79" s="316" t="str">
        <f>+Input!F275</f>
        <v/>
      </c>
      <c r="DU79" s="316">
        <f>+Input!F276</f>
        <v>0</v>
      </c>
      <c r="DV79" s="151" t="str">
        <f>Input!F277</f>
        <v/>
      </c>
      <c r="DW79" s="151"/>
      <c r="DX79" s="153"/>
      <c r="DY79" s="319">
        <f>VLOOKUP($DT79,Hidden_Database!$C$11:$I$75,4,FALSE)</f>
        <v>0</v>
      </c>
      <c r="DZ79" s="319">
        <f>VLOOKUP($DT79,Hidden_Database!$C$11:$I$75,5,FALSE)</f>
        <v>0</v>
      </c>
      <c r="EA79" s="330">
        <f>VLOOKUP($DT79,Hidden_Database!$C$11:$I$75,6,FALSE)</f>
        <v>0</v>
      </c>
      <c r="EB79" s="350" t="e">
        <f>$DU79*DY79/(Input!$F$261/$CS$90)</f>
        <v>#DIV/0!</v>
      </c>
      <c r="EC79" s="350" t="e">
        <f>$DU79*DZ79/(Input!$F$261/$CS$90)</f>
        <v>#DIV/0!</v>
      </c>
      <c r="ED79" s="350" t="e">
        <f>$DU79*EA79/(Input!$F$261/$CS$90)</f>
        <v>#DIV/0!</v>
      </c>
      <c r="EE79" s="31"/>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6"/>
    </row>
    <row r="80" spans="2:159">
      <c r="O80" s="93"/>
      <c r="P80" s="90" t="str">
        <f>Input!G113</f>
        <v>Waste 4</v>
      </c>
      <c r="Q80" s="317" t="str">
        <f>+Input!G114</f>
        <v/>
      </c>
      <c r="R80" s="317">
        <f>+Input!G115</f>
        <v>0</v>
      </c>
      <c r="S80" s="90" t="str">
        <f>+Input!G116</f>
        <v/>
      </c>
      <c r="T80" s="90"/>
      <c r="U80" s="90"/>
      <c r="V80" s="320">
        <f>VLOOKUP($Q80,Hidden_Database!$C$11:$I$75,4,FALSE)</f>
        <v>0</v>
      </c>
      <c r="W80" s="320">
        <f>VLOOKUP($Q80,Hidden_Database!$C$11:$I$75,5,FALSE)</f>
        <v>0</v>
      </c>
      <c r="X80" s="321">
        <f>VLOOKUP($Q80,Hidden_Database!$C$11:$I$75,6,FALSE)</f>
        <v>0</v>
      </c>
      <c r="Y80" s="345" t="e">
        <f>$R80*V80/(Input!$F$92/Input!$F$91)</f>
        <v>#DIV/0!</v>
      </c>
      <c r="Z80" s="345" t="e">
        <f>$R80*W80/(Input!$F$92/Input!$F$91)</f>
        <v>#DIV/0!</v>
      </c>
      <c r="AA80" s="345" t="e">
        <f>$R80*X80/(Input!$F$92/Input!$F$91)</f>
        <v>#DIV/0!</v>
      </c>
      <c r="AB80" s="93"/>
      <c r="AC80" s="93"/>
      <c r="AF80" s="146"/>
      <c r="AG80" s="146"/>
      <c r="AH80" s="146"/>
      <c r="AI80" s="97"/>
      <c r="AJ80" s="62"/>
      <c r="AK80" s="62"/>
      <c r="AL80" s="62"/>
      <c r="AM80" s="111"/>
      <c r="AN80" s="111"/>
      <c r="AO80" s="111"/>
      <c r="AP80" s="111"/>
      <c r="AQ80" s="146"/>
      <c r="AR80" s="51"/>
      <c r="AS80" s="274"/>
      <c r="AT80" s="113"/>
      <c r="AU80" s="275"/>
      <c r="AV80" s="275"/>
      <c r="AW80" s="62"/>
      <c r="AX80" s="62"/>
      <c r="AY80" s="62"/>
      <c r="AZ80" s="62"/>
      <c r="BA80" s="111"/>
      <c r="BB80" s="111"/>
      <c r="BC80" s="111"/>
      <c r="BD80" s="142"/>
      <c r="BE80" s="51"/>
      <c r="BF80" s="51"/>
      <c r="BG80" s="51"/>
      <c r="BH80" s="51"/>
      <c r="BI80" s="104"/>
      <c r="BJ80" s="111"/>
      <c r="BK80" s="104"/>
      <c r="BL80" s="104"/>
      <c r="BM80" s="104"/>
      <c r="BN80" s="111"/>
      <c r="BO80" s="146"/>
      <c r="BP80" s="51"/>
      <c r="BQ80" s="274"/>
      <c r="BR80" s="113"/>
      <c r="BS80" s="275"/>
      <c r="BT80" s="275"/>
      <c r="BU80" s="62"/>
      <c r="BV80" s="62"/>
      <c r="BW80" s="62"/>
      <c r="BX80" s="62"/>
      <c r="BY80" s="111"/>
      <c r="BZ80" s="111"/>
      <c r="CA80" s="111"/>
      <c r="CB80" s="142"/>
      <c r="CC80" s="146"/>
      <c r="CD80" s="146"/>
      <c r="CE80" s="146"/>
      <c r="CF80" s="146"/>
      <c r="CG80" s="146"/>
      <c r="CH80" s="146"/>
      <c r="CI80" s="146"/>
      <c r="CJ80" s="146"/>
      <c r="CK80" s="146"/>
      <c r="CL80" s="146"/>
      <c r="CM80" s="146"/>
      <c r="CN80" s="146"/>
      <c r="CO80" s="146"/>
      <c r="CP80" s="146"/>
      <c r="CQ80" s="175" t="str">
        <f>P80</f>
        <v>Waste 4</v>
      </c>
      <c r="CR80" s="316" t="str">
        <f>+Input!G227</f>
        <v/>
      </c>
      <c r="CS80" s="316">
        <f>+Input!G228</f>
        <v>0</v>
      </c>
      <c r="CT80" s="151" t="str">
        <f>+Input!G229</f>
        <v/>
      </c>
      <c r="CU80" s="151"/>
      <c r="CV80" s="153"/>
      <c r="CW80" s="319">
        <f>VLOOKUP($CR80,Hidden_Database!$C$11:$I$75,4,FALSE)</f>
        <v>0</v>
      </c>
      <c r="CX80" s="319">
        <f>VLOOKUP($CR80,Hidden_Database!$C$11:$I$75,5,FALSE)</f>
        <v>0</v>
      </c>
      <c r="CY80" s="330">
        <f>VLOOKUP($CR80,Hidden_Database!$C$11:$I$75,6,FALSE)</f>
        <v>0</v>
      </c>
      <c r="CZ80" s="350" t="e">
        <f>$CS80*CW80/(Input!$F$213/Input!$F$91)</f>
        <v>#DIV/0!</v>
      </c>
      <c r="DA80" s="350" t="e">
        <f>$CS80*CX80/(Input!$F$213/Input!$F$91)</f>
        <v>#DIV/0!</v>
      </c>
      <c r="DB80" s="350" t="e">
        <f>$CS80*CY80/(Input!$F$213/Input!$F$91)</f>
        <v>#DIV/0!</v>
      </c>
      <c r="DC80" s="31"/>
      <c r="DD80" s="146"/>
      <c r="DE80" s="142"/>
      <c r="DF80" s="142"/>
      <c r="DG80" s="142"/>
      <c r="DH80" s="142"/>
      <c r="DI80" s="142"/>
      <c r="DJ80" s="160"/>
      <c r="DK80" s="153"/>
      <c r="DL80" s="153"/>
      <c r="DM80" s="153"/>
      <c r="DN80" s="154"/>
      <c r="DO80" s="154"/>
      <c r="DP80" s="154"/>
      <c r="DQ80" s="31"/>
      <c r="DR80" s="146"/>
      <c r="DS80" s="175" t="str">
        <f>P80</f>
        <v>Waste 4</v>
      </c>
      <c r="DT80" s="316" t="str">
        <f>+Input!G275</f>
        <v/>
      </c>
      <c r="DU80" s="316">
        <f>+Input!G276</f>
        <v>0</v>
      </c>
      <c r="DV80" s="151" t="str">
        <f>Input!G277</f>
        <v/>
      </c>
      <c r="DW80" s="151"/>
      <c r="DX80" s="153"/>
      <c r="DY80" s="319">
        <f>VLOOKUP($DT80,Hidden_Database!$C$11:$I$75,4,FALSE)</f>
        <v>0</v>
      </c>
      <c r="DZ80" s="319">
        <f>VLOOKUP($DT80,Hidden_Database!$C$11:$I$75,5,FALSE)</f>
        <v>0</v>
      </c>
      <c r="EA80" s="330">
        <f>VLOOKUP($DT80,Hidden_Database!$C$11:$I$75,6,FALSE)</f>
        <v>0</v>
      </c>
      <c r="EB80" s="350" t="e">
        <f>$DU80*DY80/(Input!$F$261/$CS$90)</f>
        <v>#DIV/0!</v>
      </c>
      <c r="EC80" s="350" t="e">
        <f>$DU80*DZ80/(Input!$F$261/$CS$90)</f>
        <v>#DIV/0!</v>
      </c>
      <c r="ED80" s="350" t="e">
        <f>$DU80*EA80/(Input!$F$261/$CS$90)</f>
        <v>#DIV/0!</v>
      </c>
      <c r="EE80" s="31"/>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row>
    <row r="81" spans="2:159" ht="15" customHeight="1">
      <c r="O81" s="142"/>
      <c r="P81" s="137"/>
      <c r="Q81" s="140"/>
      <c r="R81" s="89" t="str">
        <f>Input!B117</f>
        <v>Transport distance by lorry truck</v>
      </c>
      <c r="S81" s="99"/>
      <c r="T81" s="99"/>
      <c r="U81" s="62"/>
      <c r="V81" s="62" t="str">
        <f t="shared" ref="V81:AA82" si="67">H32</f>
        <v>GWP</v>
      </c>
      <c r="W81" s="62" t="str">
        <f t="shared" si="67"/>
        <v>CED</v>
      </c>
      <c r="X81" s="62" t="str">
        <f t="shared" si="67"/>
        <v>AWARE</v>
      </c>
      <c r="Y81" s="62" t="str">
        <f t="shared" si="67"/>
        <v>GWP</v>
      </c>
      <c r="Z81" s="62" t="str">
        <f t="shared" si="67"/>
        <v>CED</v>
      </c>
      <c r="AA81" s="62" t="str">
        <f t="shared" si="67"/>
        <v>AWARE</v>
      </c>
      <c r="AB81" s="93"/>
      <c r="AC81" s="93"/>
      <c r="AD81" s="106"/>
      <c r="AE81" s="57"/>
      <c r="AF81" s="57"/>
      <c r="AG81" s="58"/>
      <c r="AH81" s="57"/>
      <c r="AI81" s="110"/>
      <c r="AJ81" s="102"/>
      <c r="AK81" s="102"/>
      <c r="AL81" s="103"/>
      <c r="AM81" s="104"/>
      <c r="AN81" s="104"/>
      <c r="AO81" s="104"/>
      <c r="AP81" s="104"/>
      <c r="AQ81" s="146"/>
      <c r="AR81" s="51"/>
      <c r="AS81" s="274"/>
      <c r="AT81" s="113"/>
      <c r="AU81" s="275"/>
      <c r="AV81" s="275"/>
      <c r="AW81" s="62"/>
      <c r="AX81" s="62"/>
      <c r="AY81" s="62"/>
      <c r="AZ81" s="62"/>
      <c r="BA81" s="111"/>
      <c r="BB81" s="111"/>
      <c r="BC81" s="111"/>
      <c r="BD81" s="142"/>
      <c r="BE81" s="51"/>
      <c r="BF81" s="51"/>
      <c r="BG81" s="51"/>
      <c r="BH81" s="51"/>
      <c r="BI81" s="111"/>
      <c r="BJ81" s="111"/>
      <c r="BK81" s="104"/>
      <c r="BL81" s="111"/>
      <c r="BM81" s="104"/>
      <c r="BN81" s="111"/>
      <c r="BO81" s="146"/>
      <c r="BP81" s="51"/>
      <c r="BQ81" s="274"/>
      <c r="BR81" s="113"/>
      <c r="BS81" s="275"/>
      <c r="BT81" s="275"/>
      <c r="BU81" s="62"/>
      <c r="BV81" s="62"/>
      <c r="BW81" s="62"/>
      <c r="BX81" s="62"/>
      <c r="BY81" s="111"/>
      <c r="BZ81" s="111"/>
      <c r="CA81" s="111"/>
      <c r="CB81" s="142"/>
      <c r="CC81" s="146"/>
      <c r="CD81" s="146"/>
      <c r="CE81" s="146"/>
      <c r="CF81" s="146"/>
      <c r="CG81" s="146"/>
      <c r="CH81" s="146"/>
      <c r="CI81" s="146"/>
      <c r="CJ81" s="146"/>
      <c r="CK81" s="146"/>
      <c r="CL81" s="146"/>
      <c r="CM81" s="146"/>
      <c r="CN81" s="146"/>
      <c r="CO81" s="146"/>
      <c r="CP81" s="146"/>
      <c r="CQ81" s="137"/>
      <c r="CR81" s="140"/>
      <c r="CS81" s="89" t="str">
        <f>R81</f>
        <v>Transport distance by lorry truck</v>
      </c>
      <c r="CT81" s="151"/>
      <c r="CU81" s="151"/>
      <c r="CV81" s="153"/>
      <c r="CW81" s="153" t="str">
        <f t="shared" ref="CW81:DB82" si="68">V81</f>
        <v>GWP</v>
      </c>
      <c r="CX81" s="153" t="str">
        <f t="shared" si="68"/>
        <v>CED</v>
      </c>
      <c r="CY81" s="153" t="str">
        <f t="shared" si="68"/>
        <v>AWARE</v>
      </c>
      <c r="CZ81" s="153" t="str">
        <f t="shared" si="68"/>
        <v>GWP</v>
      </c>
      <c r="DA81" s="153" t="str">
        <f t="shared" si="68"/>
        <v>CED</v>
      </c>
      <c r="DB81" s="153" t="str">
        <f t="shared" si="68"/>
        <v>AWARE</v>
      </c>
      <c r="DC81" s="31"/>
      <c r="DD81" s="146"/>
      <c r="DE81" s="150"/>
      <c r="DF81" s="150"/>
      <c r="DG81" s="160"/>
      <c r="DH81" s="156"/>
      <c r="DI81" s="156"/>
      <c r="DJ81" s="162"/>
      <c r="DK81" s="162"/>
      <c r="DL81" s="162"/>
      <c r="DM81" s="162"/>
      <c r="DN81" s="162"/>
      <c r="DO81" s="162"/>
      <c r="DP81" s="162"/>
      <c r="DQ81" s="31"/>
      <c r="DR81" s="146"/>
      <c r="DS81" s="137"/>
      <c r="DT81" s="140"/>
      <c r="DU81" s="89" t="str">
        <f>R81</f>
        <v>Transport distance by lorry truck</v>
      </c>
      <c r="DV81" s="151"/>
      <c r="DW81" s="151"/>
      <c r="DX81" s="153"/>
      <c r="DY81" s="153" t="str">
        <f t="shared" ref="DY81:ED82" si="69">V81</f>
        <v>GWP</v>
      </c>
      <c r="DZ81" s="153" t="str">
        <f t="shared" si="69"/>
        <v>CED</v>
      </c>
      <c r="EA81" s="153" t="str">
        <f t="shared" si="69"/>
        <v>AWARE</v>
      </c>
      <c r="EB81" s="153" t="str">
        <f t="shared" si="69"/>
        <v>GWP</v>
      </c>
      <c r="EC81" s="153" t="str">
        <f t="shared" si="69"/>
        <v>CED</v>
      </c>
      <c r="ED81" s="153" t="str">
        <f t="shared" si="69"/>
        <v>AWARE</v>
      </c>
      <c r="EE81" s="31"/>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row>
    <row r="82" spans="2:159" ht="15" customHeight="1">
      <c r="O82" s="93"/>
      <c r="S82" s="99"/>
      <c r="T82" s="99"/>
      <c r="U82" s="62"/>
      <c r="V82" s="62" t="str">
        <f t="shared" si="67"/>
        <v>[kg CO2 eq/tkm]</v>
      </c>
      <c r="W82" s="62" t="str">
        <f t="shared" si="67"/>
        <v>[MJ/tkm]</v>
      </c>
      <c r="X82" s="62" t="str">
        <f t="shared" si="67"/>
        <v>[m³ eq./tkm]</v>
      </c>
      <c r="Y82" s="62" t="str">
        <f t="shared" si="67"/>
        <v>[kg CO2 eq.]</v>
      </c>
      <c r="Z82" s="62" t="str">
        <f t="shared" si="67"/>
        <v>[MJ]</v>
      </c>
      <c r="AA82" s="62" t="str">
        <f t="shared" si="67"/>
        <v>[m³]</v>
      </c>
      <c r="AB82" s="93"/>
      <c r="AC82" s="93"/>
      <c r="AD82" s="106"/>
      <c r="AE82" s="57"/>
      <c r="AF82" s="57"/>
      <c r="AG82" s="58"/>
      <c r="AH82" s="57"/>
      <c r="AI82" s="110"/>
      <c r="AJ82" s="102"/>
      <c r="AK82" s="102"/>
      <c r="AL82" s="103"/>
      <c r="AM82" s="104"/>
      <c r="AN82" s="104"/>
      <c r="AO82" s="104"/>
      <c r="AP82" s="104"/>
      <c r="AQ82" s="146"/>
      <c r="AR82" s="51"/>
      <c r="AS82" s="274"/>
      <c r="AT82" s="113"/>
      <c r="AU82" s="275"/>
      <c r="AV82" s="275"/>
      <c r="AW82" s="62"/>
      <c r="AX82" s="62"/>
      <c r="AY82" s="62"/>
      <c r="AZ82" s="62"/>
      <c r="BA82" s="111"/>
      <c r="BB82" s="111"/>
      <c r="BC82" s="111"/>
      <c r="BD82" s="142"/>
      <c r="BE82" s="51"/>
      <c r="BF82" s="51"/>
      <c r="BG82" s="51"/>
      <c r="BH82" s="51"/>
      <c r="BI82" s="111"/>
      <c r="BJ82" s="111"/>
      <c r="BK82" s="111"/>
      <c r="BL82" s="111"/>
      <c r="BM82" s="111"/>
      <c r="BN82" s="111"/>
      <c r="BO82" s="146"/>
      <c r="BP82" s="51"/>
      <c r="BQ82" s="274"/>
      <c r="BR82" s="113"/>
      <c r="BS82" s="275"/>
      <c r="BT82" s="275"/>
      <c r="BU82" s="62"/>
      <c r="BV82" s="62"/>
      <c r="BW82" s="62"/>
      <c r="BX82" s="62"/>
      <c r="BY82" s="111"/>
      <c r="BZ82" s="111"/>
      <c r="CA82" s="111"/>
      <c r="CB82" s="142"/>
      <c r="CC82" s="146"/>
      <c r="CD82" s="146"/>
      <c r="CE82" s="146"/>
      <c r="CF82" s="146"/>
      <c r="CG82" s="146"/>
      <c r="CH82" s="146"/>
      <c r="CI82" s="146"/>
      <c r="CJ82" s="146"/>
      <c r="CK82" s="146"/>
      <c r="CL82" s="146"/>
      <c r="CM82" s="146"/>
      <c r="CN82" s="146"/>
      <c r="CO82" s="146"/>
      <c r="CP82" s="146"/>
      <c r="CQ82" s="31"/>
      <c r="CR82" s="31"/>
      <c r="CS82" s="31"/>
      <c r="CT82" s="151"/>
      <c r="CU82" s="151"/>
      <c r="CV82" s="153"/>
      <c r="CW82" s="153" t="str">
        <f t="shared" si="68"/>
        <v>[kg CO2 eq/tkm]</v>
      </c>
      <c r="CX82" s="153" t="str">
        <f t="shared" si="68"/>
        <v>[MJ/tkm]</v>
      </c>
      <c r="CY82" s="153" t="str">
        <f t="shared" si="68"/>
        <v>[m³ eq./tkm]</v>
      </c>
      <c r="CZ82" s="153" t="str">
        <f t="shared" si="68"/>
        <v>[kg CO2 eq.]</v>
      </c>
      <c r="DA82" s="153" t="str">
        <f t="shared" si="68"/>
        <v>[MJ]</v>
      </c>
      <c r="DB82" s="153" t="str">
        <f t="shared" si="68"/>
        <v>[m³]</v>
      </c>
      <c r="DC82" s="31"/>
      <c r="DD82" s="146"/>
      <c r="DE82" s="149"/>
      <c r="DF82" s="160"/>
      <c r="DG82" s="160"/>
      <c r="DH82" s="64"/>
      <c r="DI82" s="160"/>
      <c r="DJ82" s="162"/>
      <c r="DK82" s="163"/>
      <c r="DL82" s="163"/>
      <c r="DM82" s="163"/>
      <c r="DN82" s="164"/>
      <c r="DO82" s="164"/>
      <c r="DP82" s="163"/>
      <c r="DQ82" s="31"/>
      <c r="DR82" s="146"/>
      <c r="DS82" s="31"/>
      <c r="DT82" s="31"/>
      <c r="DU82" s="31"/>
      <c r="DV82" s="151"/>
      <c r="DW82" s="151"/>
      <c r="DX82" s="153"/>
      <c r="DY82" s="153" t="str">
        <f t="shared" si="69"/>
        <v>[kg CO2 eq/tkm]</v>
      </c>
      <c r="DZ82" s="153" t="str">
        <f t="shared" si="69"/>
        <v>[MJ/tkm]</v>
      </c>
      <c r="EA82" s="153" t="str">
        <f t="shared" si="69"/>
        <v>[m³ eq./tkm]</v>
      </c>
      <c r="EB82" s="153" t="str">
        <f t="shared" si="69"/>
        <v>[kg CO2 eq.]</v>
      </c>
      <c r="EC82" s="153" t="str">
        <f t="shared" si="69"/>
        <v>[MJ]</v>
      </c>
      <c r="ED82" s="153" t="str">
        <f t="shared" si="69"/>
        <v>[m³]</v>
      </c>
      <c r="EE82" s="31"/>
      <c r="EF82" s="146"/>
      <c r="EG82" s="146"/>
      <c r="EH82" s="146"/>
      <c r="EI82" s="146"/>
      <c r="EJ82" s="146"/>
      <c r="EK82" s="146"/>
      <c r="EL82" s="146"/>
      <c r="EM82" s="146"/>
      <c r="EN82" s="146"/>
      <c r="EO82" s="146"/>
      <c r="EP82" s="146"/>
      <c r="EQ82" s="146"/>
      <c r="ER82" s="146"/>
      <c r="ES82" s="146"/>
      <c r="ET82" s="146"/>
      <c r="EU82" s="146"/>
      <c r="EV82" s="146"/>
      <c r="EW82" s="146"/>
      <c r="EX82" s="146"/>
      <c r="EY82" s="146"/>
      <c r="EZ82" s="146"/>
      <c r="FA82" s="146"/>
      <c r="FB82" s="146"/>
      <c r="FC82" s="146"/>
    </row>
    <row r="83" spans="2:159" ht="15" customHeight="1">
      <c r="O83" s="93"/>
      <c r="P83" s="90" t="str">
        <f>P77</f>
        <v>Waste 1</v>
      </c>
      <c r="Q83" s="90" t="str">
        <f>Hidden_Database!C12</f>
        <v>Lorry truck</v>
      </c>
      <c r="R83" s="317">
        <f>+Input!D117</f>
        <v>0</v>
      </c>
      <c r="S83" s="90" t="str">
        <f>Input!H117</f>
        <v>[km]</v>
      </c>
      <c r="T83" s="90"/>
      <c r="U83" s="90"/>
      <c r="V83" s="320">
        <f>VLOOKUP($Q83,Hidden_Database!$C$11:$I$75,4,FALSE)</f>
        <v>0.21299999999999999</v>
      </c>
      <c r="W83" s="320">
        <f>VLOOKUP($Q83,Hidden_Database!$C$11:$I$75,5,FALSE)</f>
        <v>3.24</v>
      </c>
      <c r="X83" s="321">
        <f>VLOOKUP($Q83,Hidden_Database!$C$11:$I$75,6,FALSE)</f>
        <v>1.7100000000000001E-2</v>
      </c>
      <c r="Y83" s="345" t="e">
        <f>+(V83*$R83*$R77/1000)/(Input!$F$92/Input!$F$91)</f>
        <v>#DIV/0!</v>
      </c>
      <c r="Z83" s="345" t="e">
        <f>+(W83*$R83*$R77/1000)/(Input!$F$92/Input!$F$91)</f>
        <v>#DIV/0!</v>
      </c>
      <c r="AA83" s="345" t="e">
        <f>+(X83*$R83*$R77/1000)/(Input!$F$92/Input!$F$91)</f>
        <v>#DIV/0!</v>
      </c>
      <c r="AB83" s="93"/>
      <c r="AC83" s="93"/>
      <c r="AD83" s="51"/>
      <c r="AE83" s="107"/>
      <c r="AF83" s="113"/>
      <c r="AG83" s="275"/>
      <c r="AH83" s="144"/>
      <c r="AI83" s="62"/>
      <c r="AJ83" s="62"/>
      <c r="AK83" s="62"/>
      <c r="AL83" s="62"/>
      <c r="AM83" s="111"/>
      <c r="AN83" s="111"/>
      <c r="AO83" s="111"/>
      <c r="AP83" s="111"/>
      <c r="AQ83" s="146"/>
      <c r="AR83" s="51"/>
      <c r="AS83" s="274"/>
      <c r="AT83" s="113"/>
      <c r="AU83" s="276"/>
      <c r="AV83" s="276"/>
      <c r="AW83" s="62"/>
      <c r="AX83" s="62"/>
      <c r="AY83" s="62"/>
      <c r="AZ83" s="62"/>
      <c r="BA83" s="111"/>
      <c r="BB83" s="111"/>
      <c r="BC83" s="111"/>
      <c r="BD83" s="142"/>
      <c r="BE83" s="51"/>
      <c r="BF83" s="51"/>
      <c r="BG83" s="51"/>
      <c r="BH83" s="51"/>
      <c r="BI83" s="111"/>
      <c r="BJ83" s="111"/>
      <c r="BK83" s="111"/>
      <c r="BL83" s="111"/>
      <c r="BM83" s="111"/>
      <c r="BN83" s="111"/>
      <c r="BO83" s="146"/>
      <c r="BP83" s="51"/>
      <c r="BQ83" s="274"/>
      <c r="BR83" s="113"/>
      <c r="BS83" s="276"/>
      <c r="BT83" s="276"/>
      <c r="BU83" s="62"/>
      <c r="BV83" s="62"/>
      <c r="BW83" s="62"/>
      <c r="BX83" s="62"/>
      <c r="BY83" s="111"/>
      <c r="BZ83" s="111"/>
      <c r="CA83" s="111"/>
      <c r="CB83" s="142"/>
      <c r="CC83" s="146"/>
      <c r="CD83" s="146"/>
      <c r="CE83" s="146"/>
      <c r="CF83" s="146"/>
      <c r="CG83" s="146"/>
      <c r="CH83" s="146"/>
      <c r="CI83" s="146"/>
      <c r="CJ83" s="146"/>
      <c r="CK83" s="146"/>
      <c r="CL83" s="146"/>
      <c r="CM83" s="146"/>
      <c r="CN83" s="146"/>
      <c r="CO83" s="146"/>
      <c r="CP83" s="146"/>
      <c r="CQ83" s="175" t="str">
        <f>P83</f>
        <v>Waste 1</v>
      </c>
      <c r="CR83" s="175" t="str">
        <f>Hidden_Database!C12</f>
        <v>Lorry truck</v>
      </c>
      <c r="CS83" s="316">
        <f>+Input!D230</f>
        <v>0</v>
      </c>
      <c r="CT83" s="151" t="str">
        <f>S83</f>
        <v>[km]</v>
      </c>
      <c r="CU83" s="151"/>
      <c r="CV83" s="153"/>
      <c r="CW83" s="319">
        <f>VLOOKUP($CR83,Hidden_Database!$C$11:$I$75,4,FALSE)</f>
        <v>0.21299999999999999</v>
      </c>
      <c r="CX83" s="319">
        <f>VLOOKUP($CR83,Hidden_Database!$C$11:$I$75,5,FALSE)</f>
        <v>3.24</v>
      </c>
      <c r="CY83" s="330">
        <f>VLOOKUP($CR83,Hidden_Database!$C$11:$I$75,6,FALSE)</f>
        <v>1.7100000000000001E-2</v>
      </c>
      <c r="CZ83" s="350" t="e">
        <f>+(CW83*$CS83*$CS77/1000)/(Input!$F$213/Input!$F$91)</f>
        <v>#DIV/0!</v>
      </c>
      <c r="DA83" s="350" t="e">
        <f>+(CX83*$CS83*$CS77/1000)/(Input!$F$213/Input!$F$91)</f>
        <v>#DIV/0!</v>
      </c>
      <c r="DB83" s="350" t="e">
        <f>+(CY83*$CS83*$CS77/1000)/(Input!$F$213/Input!$F$91)</f>
        <v>#DIV/0!</v>
      </c>
      <c r="DC83" s="31"/>
      <c r="DD83" s="146"/>
      <c r="DE83" s="149"/>
      <c r="DF83" s="160"/>
      <c r="DG83" s="160"/>
      <c r="DH83" s="64"/>
      <c r="DI83" s="160"/>
      <c r="DJ83" s="162"/>
      <c r="DK83" s="163"/>
      <c r="DL83" s="163"/>
      <c r="DM83" s="163"/>
      <c r="DN83" s="164"/>
      <c r="DO83" s="164"/>
      <c r="DP83" s="163"/>
      <c r="DQ83" s="31"/>
      <c r="DR83" s="146"/>
      <c r="DS83" s="175" t="str">
        <f>P83</f>
        <v>Waste 1</v>
      </c>
      <c r="DT83" s="175" t="str">
        <f>Hidden_Database!C12</f>
        <v>Lorry truck</v>
      </c>
      <c r="DU83" s="316">
        <f>+Input!D278</f>
        <v>0</v>
      </c>
      <c r="DV83" s="151" t="str">
        <f>CT83</f>
        <v>[km]</v>
      </c>
      <c r="DW83" s="151"/>
      <c r="DX83" s="153"/>
      <c r="DY83" s="319">
        <f>VLOOKUP($DT83,Hidden_Database!$C$11:$I$75,4,FALSE)</f>
        <v>0.21299999999999999</v>
      </c>
      <c r="DZ83" s="319">
        <f>VLOOKUP($DT83,Hidden_Database!$C$11:$I$75,5,FALSE)</f>
        <v>3.24</v>
      </c>
      <c r="EA83" s="330">
        <f>VLOOKUP($DT83,Hidden_Database!$C$11:$I$75,6,FALSE)</f>
        <v>1.7100000000000001E-2</v>
      </c>
      <c r="EB83" s="350" t="e">
        <f>+(DY83*$DU83*$DU77/1000)/(Input!$F$261/$CS$90)</f>
        <v>#DIV/0!</v>
      </c>
      <c r="EC83" s="350" t="e">
        <f>+(DZ83*$DU83*$DU77/1000)/(Input!$F$261/$CS$90)</f>
        <v>#DIV/0!</v>
      </c>
      <c r="ED83" s="350" t="e">
        <f>+(EA83*$DU83*$DU77/1000)/(Input!$F$261/$CS$90)</f>
        <v>#DIV/0!</v>
      </c>
      <c r="EE83" s="31"/>
      <c r="EF83" s="146"/>
      <c r="EG83" s="146"/>
      <c r="EH83" s="146"/>
      <c r="EI83" s="146"/>
      <c r="EJ83" s="146"/>
      <c r="EK83" s="146"/>
      <c r="EL83" s="146"/>
      <c r="EM83" s="146"/>
      <c r="EN83" s="146"/>
      <c r="EO83" s="146"/>
      <c r="EP83" s="146"/>
      <c r="EQ83" s="146"/>
      <c r="ER83" s="146"/>
      <c r="ES83" s="146"/>
      <c r="ET83" s="146"/>
      <c r="EU83" s="146"/>
      <c r="EV83" s="146"/>
      <c r="EW83" s="146"/>
      <c r="EX83" s="146"/>
      <c r="EY83" s="146"/>
      <c r="EZ83" s="146"/>
      <c r="FA83" s="146"/>
      <c r="FB83" s="146"/>
      <c r="FC83" s="146"/>
    </row>
    <row r="84" spans="2:159" ht="15" customHeight="1">
      <c r="O84" s="93"/>
      <c r="P84" s="90" t="str">
        <f>P78</f>
        <v>Waste 2</v>
      </c>
      <c r="Q84" s="90" t="str">
        <f>Hidden_Database!C12</f>
        <v>Lorry truck</v>
      </c>
      <c r="R84" s="317">
        <f>+Input!E117</f>
        <v>0</v>
      </c>
      <c r="S84" s="90" t="str">
        <f>S83</f>
        <v>[km]</v>
      </c>
      <c r="T84" s="90"/>
      <c r="U84" s="90"/>
      <c r="V84" s="320">
        <f>VLOOKUP($Q84,Hidden_Database!$C$11:$I$75,4,FALSE)</f>
        <v>0.21299999999999999</v>
      </c>
      <c r="W84" s="320">
        <f>VLOOKUP($Q84,Hidden_Database!$C$11:$I$75,5,FALSE)</f>
        <v>3.24</v>
      </c>
      <c r="X84" s="321">
        <f>VLOOKUP($Q84,Hidden_Database!$C$11:$I$75,6,FALSE)</f>
        <v>1.7100000000000001E-2</v>
      </c>
      <c r="Y84" s="345" t="e">
        <f>+(V84*$R84*$R78/1000)/(Input!$F$92/Input!$F$91)</f>
        <v>#DIV/0!</v>
      </c>
      <c r="Z84" s="345" t="e">
        <f>+(W84*$R84*$R78/1000)/(Input!$F$92/Input!$F$91)</f>
        <v>#DIV/0!</v>
      </c>
      <c r="AA84" s="345" t="e">
        <f>+(X84*$R84*$R78/1000)/(Input!$F$92/Input!$F$91)</f>
        <v>#DIV/0!</v>
      </c>
      <c r="AB84" s="93"/>
      <c r="AC84" s="93"/>
      <c r="AD84" s="51"/>
      <c r="AE84" s="107"/>
      <c r="AF84" s="113"/>
      <c r="AG84" s="275"/>
      <c r="AH84" s="144"/>
      <c r="AI84" s="62"/>
      <c r="AJ84" s="62"/>
      <c r="AK84" s="62"/>
      <c r="AL84" s="62"/>
      <c r="AM84" s="111"/>
      <c r="AN84" s="111"/>
      <c r="AO84" s="111"/>
      <c r="AP84" s="111"/>
      <c r="AQ84" s="146"/>
      <c r="AR84" s="51"/>
      <c r="AS84" s="274"/>
      <c r="AT84" s="113"/>
      <c r="AU84" s="276"/>
      <c r="AV84" s="276"/>
      <c r="AW84" s="62"/>
      <c r="AX84" s="62"/>
      <c r="AY84" s="62"/>
      <c r="AZ84" s="62"/>
      <c r="BA84" s="111"/>
      <c r="BB84" s="111"/>
      <c r="BC84" s="111"/>
      <c r="BD84" s="142"/>
      <c r="BE84" s="51"/>
      <c r="BF84" s="51"/>
      <c r="BG84" s="51"/>
      <c r="BH84" s="51"/>
      <c r="BI84" s="111"/>
      <c r="BJ84" s="111"/>
      <c r="BK84" s="111"/>
      <c r="BL84" s="111"/>
      <c r="BM84" s="111"/>
      <c r="BN84" s="111"/>
      <c r="BO84" s="146"/>
      <c r="BP84" s="51"/>
      <c r="BQ84" s="274"/>
      <c r="BR84" s="113"/>
      <c r="BS84" s="276"/>
      <c r="BT84" s="276"/>
      <c r="BU84" s="62"/>
      <c r="BV84" s="62"/>
      <c r="BW84" s="62"/>
      <c r="BX84" s="62"/>
      <c r="BY84" s="111"/>
      <c r="BZ84" s="111"/>
      <c r="CA84" s="111"/>
      <c r="CB84" s="142"/>
      <c r="CC84" s="146"/>
      <c r="CD84" s="146"/>
      <c r="CE84" s="146"/>
      <c r="CF84" s="146"/>
      <c r="CG84" s="146"/>
      <c r="CH84" s="146"/>
      <c r="CI84" s="146"/>
      <c r="CJ84" s="146"/>
      <c r="CK84" s="146"/>
      <c r="CL84" s="146"/>
      <c r="CM84" s="146"/>
      <c r="CN84" s="146"/>
      <c r="CO84" s="146"/>
      <c r="CP84" s="146"/>
      <c r="CQ84" s="175" t="str">
        <f>P84</f>
        <v>Waste 2</v>
      </c>
      <c r="CR84" s="175" t="str">
        <f>Hidden_Database!C12</f>
        <v>Lorry truck</v>
      </c>
      <c r="CS84" s="316">
        <f>+Input!E230</f>
        <v>0</v>
      </c>
      <c r="CT84" s="151" t="str">
        <f>S84</f>
        <v>[km]</v>
      </c>
      <c r="CU84" s="151"/>
      <c r="CV84" s="153"/>
      <c r="CW84" s="319">
        <f>VLOOKUP($CR84,Hidden_Database!$C$11:$I$75,4,FALSE)</f>
        <v>0.21299999999999999</v>
      </c>
      <c r="CX84" s="319">
        <f>VLOOKUP($CR84,Hidden_Database!$C$11:$I$75,5,FALSE)</f>
        <v>3.24</v>
      </c>
      <c r="CY84" s="330">
        <f>VLOOKUP($CR84,Hidden_Database!$C$11:$I$75,6,FALSE)</f>
        <v>1.7100000000000001E-2</v>
      </c>
      <c r="CZ84" s="350" t="e">
        <f>+(CW84*$CS84*$CS78/1000)/(Input!$F$213/Input!$F$91)</f>
        <v>#DIV/0!</v>
      </c>
      <c r="DA84" s="350" t="e">
        <f>+(CX84*$CS84*$CS78/1000)/(Input!$F$213/Input!$F$91)</f>
        <v>#DIV/0!</v>
      </c>
      <c r="DB84" s="350" t="e">
        <f>+(CY84*$CS84*$CS78/1000)/(Input!$F$213/Input!$F$91)</f>
        <v>#DIV/0!</v>
      </c>
      <c r="DC84" s="31"/>
      <c r="DD84" s="146"/>
      <c r="DE84" s="149"/>
      <c r="DF84" s="165"/>
      <c r="DG84" s="64"/>
      <c r="DH84" s="166"/>
      <c r="DI84" s="156"/>
      <c r="DJ84" s="153"/>
      <c r="DK84" s="153"/>
      <c r="DL84" s="153"/>
      <c r="DM84" s="153"/>
      <c r="DN84" s="164"/>
      <c r="DO84" s="164"/>
      <c r="DP84" s="164"/>
      <c r="DQ84" s="31"/>
      <c r="DR84" s="146"/>
      <c r="DS84" s="175" t="str">
        <f>P84</f>
        <v>Waste 2</v>
      </c>
      <c r="DT84" s="175" t="str">
        <f>Hidden_Database!C12</f>
        <v>Lorry truck</v>
      </c>
      <c r="DU84" s="316">
        <f>+Input!E278</f>
        <v>0</v>
      </c>
      <c r="DV84" s="151" t="str">
        <f>CT84</f>
        <v>[km]</v>
      </c>
      <c r="DW84" s="151"/>
      <c r="DX84" s="153"/>
      <c r="DY84" s="319">
        <f>VLOOKUP($DT84,Hidden_Database!$C$11:$I$75,4,FALSE)</f>
        <v>0.21299999999999999</v>
      </c>
      <c r="DZ84" s="319">
        <f>VLOOKUP($DT84,Hidden_Database!$C$11:$I$75,5,FALSE)</f>
        <v>3.24</v>
      </c>
      <c r="EA84" s="330">
        <f>VLOOKUP($DT84,Hidden_Database!$C$11:$I$75,6,FALSE)</f>
        <v>1.7100000000000001E-2</v>
      </c>
      <c r="EB84" s="350" t="e">
        <f>+(DY84*$DU84*$DU78/1000)/(Input!$F$261/$CS$90)</f>
        <v>#DIV/0!</v>
      </c>
      <c r="EC84" s="350" t="e">
        <f>+(DZ84*$DU84*$DU78/1000)/(Input!$F$261/$CS$90)</f>
        <v>#DIV/0!</v>
      </c>
      <c r="ED84" s="350" t="e">
        <f>+(EA84*$DU84*$DU78/1000)/(Input!$F$261/$CS$90)</f>
        <v>#DIV/0!</v>
      </c>
      <c r="EE84" s="31"/>
      <c r="EF84" s="146"/>
      <c r="EG84" s="146"/>
      <c r="EH84" s="146"/>
      <c r="EI84" s="146"/>
      <c r="EJ84" s="146"/>
      <c r="EK84" s="146"/>
      <c r="EL84" s="146"/>
      <c r="EM84" s="146"/>
      <c r="EN84" s="146"/>
      <c r="EO84" s="146"/>
      <c r="EP84" s="146"/>
      <c r="EQ84" s="146"/>
      <c r="ER84" s="146"/>
      <c r="ES84" s="146"/>
      <c r="ET84" s="146"/>
      <c r="EU84" s="146"/>
      <c r="EV84" s="146"/>
      <c r="EW84" s="146"/>
      <c r="EX84" s="146"/>
      <c r="EY84" s="146"/>
      <c r="EZ84" s="146"/>
      <c r="FA84" s="146"/>
      <c r="FB84" s="146"/>
      <c r="FC84" s="146"/>
    </row>
    <row r="85" spans="2:159">
      <c r="O85" s="93"/>
      <c r="P85" s="90" t="str">
        <f>P79</f>
        <v>Waste 3</v>
      </c>
      <c r="Q85" s="90" t="str">
        <f>Hidden_Database!C12</f>
        <v>Lorry truck</v>
      </c>
      <c r="R85" s="317">
        <f>+Input!F117</f>
        <v>0</v>
      </c>
      <c r="S85" s="90" t="str">
        <f>S83</f>
        <v>[km]</v>
      </c>
      <c r="T85" s="90"/>
      <c r="U85" s="90"/>
      <c r="V85" s="320">
        <f>VLOOKUP($Q85,Hidden_Database!$C$11:$I$75,4,FALSE)</f>
        <v>0.21299999999999999</v>
      </c>
      <c r="W85" s="320">
        <f>VLOOKUP($Q85,Hidden_Database!$C$11:$I$75,5,FALSE)</f>
        <v>3.24</v>
      </c>
      <c r="X85" s="321">
        <f>VLOOKUP($Q85,Hidden_Database!$C$11:$I$75,6,FALSE)</f>
        <v>1.7100000000000001E-2</v>
      </c>
      <c r="Y85" s="345" t="e">
        <f>+(V85*$R85*$R79/1000)/(Input!$F$92/Input!$F$91)</f>
        <v>#DIV/0!</v>
      </c>
      <c r="Z85" s="345" t="e">
        <f>+(W85*$R85*$R79/1000)/(Input!$F$92/Input!$F$91)</f>
        <v>#DIV/0!</v>
      </c>
      <c r="AA85" s="345" t="e">
        <f>+(X85*$R85*$R79/1000)/(Input!$F$92/Input!$F$91)</f>
        <v>#DIV/0!</v>
      </c>
      <c r="AB85" s="93"/>
      <c r="AC85" s="93"/>
      <c r="AD85" s="51"/>
      <c r="AE85" s="107"/>
      <c r="AF85" s="113"/>
      <c r="AG85" s="275"/>
      <c r="AH85" s="144"/>
      <c r="AI85" s="62"/>
      <c r="AJ85" s="62"/>
      <c r="AK85" s="62"/>
      <c r="AL85" s="62"/>
      <c r="AM85" s="111"/>
      <c r="AN85" s="111"/>
      <c r="AO85" s="111"/>
      <c r="AP85" s="111"/>
      <c r="AQ85" s="146"/>
      <c r="AR85" s="51"/>
      <c r="AS85" s="274"/>
      <c r="AT85" s="113"/>
      <c r="AU85" s="276"/>
      <c r="AV85" s="276"/>
      <c r="AW85" s="62"/>
      <c r="AX85" s="62"/>
      <c r="AY85" s="62"/>
      <c r="AZ85" s="62"/>
      <c r="BA85" s="111"/>
      <c r="BB85" s="111"/>
      <c r="BC85" s="111"/>
      <c r="BD85" s="142"/>
      <c r="BE85" s="51"/>
      <c r="BF85" s="51"/>
      <c r="BG85" s="51"/>
      <c r="BH85" s="51"/>
      <c r="BI85" s="111"/>
      <c r="BJ85" s="146"/>
      <c r="BK85" s="111"/>
      <c r="BL85" s="111"/>
      <c r="BM85" s="111"/>
      <c r="BN85" s="111"/>
      <c r="BO85" s="146"/>
      <c r="BP85" s="51"/>
      <c r="BQ85" s="274"/>
      <c r="BR85" s="113"/>
      <c r="BS85" s="276"/>
      <c r="BT85" s="276"/>
      <c r="BU85" s="62"/>
      <c r="BV85" s="62"/>
      <c r="BW85" s="62"/>
      <c r="BX85" s="62"/>
      <c r="BY85" s="111"/>
      <c r="BZ85" s="111"/>
      <c r="CA85" s="111"/>
      <c r="CB85" s="142"/>
      <c r="CC85" s="146"/>
      <c r="CD85" s="146"/>
      <c r="CE85" s="146"/>
      <c r="CF85" s="146"/>
      <c r="CG85" s="146"/>
      <c r="CH85" s="146"/>
      <c r="CI85" s="146"/>
      <c r="CJ85" s="146"/>
      <c r="CK85" s="146"/>
      <c r="CL85" s="146"/>
      <c r="CM85" s="146"/>
      <c r="CN85" s="146"/>
      <c r="CO85" s="146"/>
      <c r="CP85" s="146"/>
      <c r="CQ85" s="175" t="str">
        <f>P85</f>
        <v>Waste 3</v>
      </c>
      <c r="CR85" s="175" t="str">
        <f>Hidden_Database!C12</f>
        <v>Lorry truck</v>
      </c>
      <c r="CS85" s="316">
        <f>+Input!F230</f>
        <v>0</v>
      </c>
      <c r="CT85" s="151" t="str">
        <f>S85</f>
        <v>[km]</v>
      </c>
      <c r="CU85" s="151"/>
      <c r="CV85" s="153"/>
      <c r="CW85" s="319">
        <f>VLOOKUP($CR85,Hidden_Database!$C$11:$I$75,4,FALSE)</f>
        <v>0.21299999999999999</v>
      </c>
      <c r="CX85" s="319">
        <f>VLOOKUP($CR85,Hidden_Database!$C$11:$I$75,5,FALSE)</f>
        <v>3.24</v>
      </c>
      <c r="CY85" s="330">
        <f>VLOOKUP($CR85,Hidden_Database!$C$11:$I$75,6,FALSE)</f>
        <v>1.7100000000000001E-2</v>
      </c>
      <c r="CZ85" s="350" t="e">
        <f>+(CW85*$CS85*$CS79/1000)/(Input!$F$213/Input!$F$91)</f>
        <v>#DIV/0!</v>
      </c>
      <c r="DA85" s="350" t="e">
        <f>+(CX85*$CS85*$CS79/1000)/(Input!$F$213/Input!$F$91)</f>
        <v>#DIV/0!</v>
      </c>
      <c r="DB85" s="350" t="e">
        <f>+(CY85*$CS85*$CS79/1000)/(Input!$F$213/Input!$F$91)</f>
        <v>#DIV/0!</v>
      </c>
      <c r="DC85" s="31"/>
      <c r="DD85" s="146"/>
      <c r="DE85" s="149"/>
      <c r="DF85" s="165"/>
      <c r="DG85" s="64"/>
      <c r="DH85" s="166"/>
      <c r="DI85" s="156"/>
      <c r="DJ85" s="153"/>
      <c r="DK85" s="153"/>
      <c r="DL85" s="153"/>
      <c r="DM85" s="153"/>
      <c r="DN85" s="164"/>
      <c r="DO85" s="164"/>
      <c r="DP85" s="164"/>
      <c r="DQ85" s="31"/>
      <c r="DR85" s="146"/>
      <c r="DS85" s="175" t="str">
        <f>P85</f>
        <v>Waste 3</v>
      </c>
      <c r="DT85" s="175" t="str">
        <f>Hidden_Database!C12</f>
        <v>Lorry truck</v>
      </c>
      <c r="DU85" s="316">
        <f>+Input!F278</f>
        <v>0</v>
      </c>
      <c r="DV85" s="151" t="str">
        <f>CT85</f>
        <v>[km]</v>
      </c>
      <c r="DW85" s="151"/>
      <c r="DX85" s="153"/>
      <c r="DY85" s="319">
        <f>VLOOKUP($DT85,Hidden_Database!$C$11:$I$75,4,FALSE)</f>
        <v>0.21299999999999999</v>
      </c>
      <c r="DZ85" s="319">
        <f>VLOOKUP($DT85,Hidden_Database!$C$11:$I$75,5,FALSE)</f>
        <v>3.24</v>
      </c>
      <c r="EA85" s="330">
        <f>VLOOKUP($DT85,Hidden_Database!$C$11:$I$75,6,FALSE)</f>
        <v>1.7100000000000001E-2</v>
      </c>
      <c r="EB85" s="350" t="e">
        <f>+(DY85*$DU85*$DU79/1000)/(Input!$F$261/$CS$90)</f>
        <v>#DIV/0!</v>
      </c>
      <c r="EC85" s="350" t="e">
        <f>+(DZ85*$DU85*$DU79/1000)/(Input!$F$261/$CS$90)</f>
        <v>#DIV/0!</v>
      </c>
      <c r="ED85" s="350" t="e">
        <f>+(EA85*$DU85*$DU79/1000)/(Input!$F$261/$CS$90)</f>
        <v>#DIV/0!</v>
      </c>
      <c r="EE85" s="31"/>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row>
    <row r="86" spans="2:159">
      <c r="O86" s="93"/>
      <c r="P86" s="90" t="str">
        <f>P80</f>
        <v>Waste 4</v>
      </c>
      <c r="Q86" s="90" t="str">
        <f>Hidden_Database!C12</f>
        <v>Lorry truck</v>
      </c>
      <c r="R86" s="317">
        <f>+Input!G117</f>
        <v>0</v>
      </c>
      <c r="S86" s="90" t="str">
        <f>S83</f>
        <v>[km]</v>
      </c>
      <c r="T86" s="90"/>
      <c r="U86" s="90"/>
      <c r="V86" s="320">
        <f>VLOOKUP($Q86,Hidden_Database!$C$11:$I$75,4,FALSE)</f>
        <v>0.21299999999999999</v>
      </c>
      <c r="W86" s="320">
        <f>VLOOKUP($Q86,Hidden_Database!$C$11:$I$75,5,FALSE)</f>
        <v>3.24</v>
      </c>
      <c r="X86" s="321">
        <f>VLOOKUP($Q86,Hidden_Database!$C$11:$I$75,6,FALSE)</f>
        <v>1.7100000000000001E-2</v>
      </c>
      <c r="Y86" s="345" t="e">
        <f>+(V86*$R86*$R80/1000)/(Input!$F$92/Input!$F$91)</f>
        <v>#DIV/0!</v>
      </c>
      <c r="Z86" s="345" t="e">
        <f>+(W86*$R86*$R80/1000)/(Input!$F$92/Input!$F$91)</f>
        <v>#DIV/0!</v>
      </c>
      <c r="AA86" s="345" t="e">
        <f>+(X86*$R86*$R80/1000)/(Input!$F$92/Input!$F$91)</f>
        <v>#DIV/0!</v>
      </c>
      <c r="AB86" s="93"/>
      <c r="AC86" s="93"/>
      <c r="AD86" s="51"/>
      <c r="AE86" s="107"/>
      <c r="AF86" s="113"/>
      <c r="AG86" s="275"/>
      <c r="AH86" s="144"/>
      <c r="AI86" s="62"/>
      <c r="AJ86" s="62"/>
      <c r="AK86" s="62"/>
      <c r="AL86" s="62"/>
      <c r="AM86" s="111"/>
      <c r="AN86" s="111"/>
      <c r="AO86" s="111"/>
      <c r="AP86" s="111"/>
      <c r="AQ86" s="146"/>
      <c r="AR86" s="51"/>
      <c r="AS86" s="274"/>
      <c r="AT86" s="113"/>
      <c r="AU86" s="276"/>
      <c r="AV86" s="276"/>
      <c r="AW86" s="62"/>
      <c r="AX86" s="62"/>
      <c r="AY86" s="62"/>
      <c r="AZ86" s="62"/>
      <c r="BA86" s="111"/>
      <c r="BB86" s="111"/>
      <c r="BC86" s="111"/>
      <c r="BD86" s="142"/>
      <c r="BE86" s="51"/>
      <c r="BF86" s="51"/>
      <c r="BG86" s="51"/>
      <c r="BH86" s="51"/>
      <c r="BI86" s="51"/>
      <c r="BJ86" s="142"/>
      <c r="BK86" s="111"/>
      <c r="BL86" s="146"/>
      <c r="BM86" s="111"/>
      <c r="BN86" s="146"/>
      <c r="BO86" s="146"/>
      <c r="BP86" s="51"/>
      <c r="BQ86" s="274"/>
      <c r="BR86" s="113"/>
      <c r="BS86" s="276"/>
      <c r="BT86" s="276"/>
      <c r="BU86" s="62"/>
      <c r="BV86" s="62"/>
      <c r="BW86" s="62"/>
      <c r="BX86" s="62"/>
      <c r="BY86" s="111"/>
      <c r="BZ86" s="111"/>
      <c r="CA86" s="111"/>
      <c r="CB86" s="142"/>
      <c r="CC86" s="146"/>
      <c r="CD86" s="146"/>
      <c r="CE86" s="146"/>
      <c r="CF86" s="146"/>
      <c r="CG86" s="146"/>
      <c r="CH86" s="146"/>
      <c r="CI86" s="146"/>
      <c r="CJ86" s="146"/>
      <c r="CK86" s="146"/>
      <c r="CL86" s="146"/>
      <c r="CM86" s="146"/>
      <c r="CN86" s="146"/>
      <c r="CO86" s="146"/>
      <c r="CP86" s="146"/>
      <c r="CQ86" s="175" t="str">
        <f>P86</f>
        <v>Waste 4</v>
      </c>
      <c r="CR86" s="175" t="str">
        <f>Hidden_Database!C12</f>
        <v>Lorry truck</v>
      </c>
      <c r="CS86" s="316">
        <f>+Input!G230</f>
        <v>0</v>
      </c>
      <c r="CT86" s="151" t="str">
        <f>S86</f>
        <v>[km]</v>
      </c>
      <c r="CU86" s="151"/>
      <c r="CV86" s="153"/>
      <c r="CW86" s="319">
        <f>VLOOKUP($CR86,Hidden_Database!$C$11:$I$75,4,FALSE)</f>
        <v>0.21299999999999999</v>
      </c>
      <c r="CX86" s="319">
        <f>VLOOKUP($CR86,Hidden_Database!$C$11:$I$75,5,FALSE)</f>
        <v>3.24</v>
      </c>
      <c r="CY86" s="330">
        <f>VLOOKUP($CR86,Hidden_Database!$C$11:$I$75,6,FALSE)</f>
        <v>1.7100000000000001E-2</v>
      </c>
      <c r="CZ86" s="350" t="e">
        <f>+(CW86*$CS86*$CS80/1000)/(Input!$F$213/Input!$F$91)</f>
        <v>#DIV/0!</v>
      </c>
      <c r="DA86" s="350" t="e">
        <f>+(CX86*$CS86*$CS80/1000)/(Input!$F$213/Input!$F$91)</f>
        <v>#DIV/0!</v>
      </c>
      <c r="DB86" s="350" t="e">
        <f>+(CY86*$CS86*$CS80/1000)/(Input!$F$213/Input!$F$91)</f>
        <v>#DIV/0!</v>
      </c>
      <c r="DC86" s="31"/>
      <c r="DD86" s="146"/>
      <c r="DE86" s="149"/>
      <c r="DF86" s="165"/>
      <c r="DG86" s="64"/>
      <c r="DH86" s="166"/>
      <c r="DI86" s="156"/>
      <c r="DJ86" s="153"/>
      <c r="DK86" s="153"/>
      <c r="DL86" s="153"/>
      <c r="DM86" s="153"/>
      <c r="DN86" s="164"/>
      <c r="DO86" s="164"/>
      <c r="DP86" s="164"/>
      <c r="DQ86" s="31"/>
      <c r="DR86" s="146"/>
      <c r="DS86" s="175" t="str">
        <f>P86</f>
        <v>Waste 4</v>
      </c>
      <c r="DT86" s="175" t="str">
        <f>Hidden_Database!C12</f>
        <v>Lorry truck</v>
      </c>
      <c r="DU86" s="316">
        <f>+Input!G278</f>
        <v>0</v>
      </c>
      <c r="DV86" s="151" t="str">
        <f>CT86</f>
        <v>[km]</v>
      </c>
      <c r="DW86" s="151"/>
      <c r="DX86" s="153"/>
      <c r="DY86" s="319">
        <f>VLOOKUP($DT86,Hidden_Database!$C$11:$I$75,4,FALSE)</f>
        <v>0.21299999999999999</v>
      </c>
      <c r="DZ86" s="319">
        <f>VLOOKUP($DT86,Hidden_Database!$C$11:$I$75,5,FALSE)</f>
        <v>3.24</v>
      </c>
      <c r="EA86" s="330">
        <f>VLOOKUP($DT86,Hidden_Database!$C$11:$I$75,6,FALSE)</f>
        <v>1.7100000000000001E-2</v>
      </c>
      <c r="EB86" s="350" t="e">
        <f>+(DY86*$DU86*$DU80/1000)/(Input!$F$261/$CS$90)</f>
        <v>#DIV/0!</v>
      </c>
      <c r="EC86" s="350" t="e">
        <f>+(DZ86*$DU86*$DU80/1000)/(Input!$F$261/$CS$90)</f>
        <v>#DIV/0!</v>
      </c>
      <c r="ED86" s="350" t="e">
        <f>+(EA86*$DU86*$DU80/1000)/(Input!$F$261/$CS$90)</f>
        <v>#DIV/0!</v>
      </c>
      <c r="EE86" s="31"/>
      <c r="EF86" s="146"/>
      <c r="EG86" s="146"/>
      <c r="EH86" s="146"/>
      <c r="EI86" s="146"/>
      <c r="EJ86" s="146"/>
      <c r="EK86" s="146"/>
      <c r="EL86" s="146"/>
      <c r="EM86" s="146"/>
      <c r="EN86" s="146"/>
      <c r="EO86" s="146"/>
      <c r="EP86" s="146"/>
      <c r="EQ86" s="146"/>
      <c r="ER86" s="146"/>
      <c r="ES86" s="146"/>
      <c r="ET86" s="146"/>
      <c r="EU86" s="146"/>
      <c r="EV86" s="146"/>
      <c r="EW86" s="146"/>
      <c r="EX86" s="146"/>
      <c r="EY86" s="146"/>
      <c r="EZ86" s="146"/>
      <c r="FA86" s="146"/>
      <c r="FB86" s="146"/>
      <c r="FC86" s="146"/>
    </row>
    <row r="87" spans="2:159" ht="15" customHeight="1">
      <c r="O87" s="93"/>
      <c r="AC87" s="93"/>
      <c r="AD87" s="51"/>
      <c r="AE87" s="107"/>
      <c r="AF87" s="113"/>
      <c r="AG87" s="276"/>
      <c r="AH87" s="144"/>
      <c r="AI87" s="62"/>
      <c r="AJ87" s="62"/>
      <c r="AK87" s="62"/>
      <c r="AL87" s="62"/>
      <c r="AM87" s="111"/>
      <c r="AN87" s="111"/>
      <c r="AO87" s="111"/>
      <c r="AP87" s="111"/>
      <c r="AQ87" s="146"/>
      <c r="AR87" s="51"/>
      <c r="AS87" s="274"/>
      <c r="AT87" s="113"/>
      <c r="AU87" s="276"/>
      <c r="AV87" s="276"/>
      <c r="AW87" s="62"/>
      <c r="AX87" s="62"/>
      <c r="AY87" s="62"/>
      <c r="AZ87" s="62"/>
      <c r="BA87" s="111"/>
      <c r="BB87" s="111"/>
      <c r="BC87" s="111"/>
      <c r="BD87" s="142"/>
      <c r="BE87" s="51"/>
      <c r="BF87" s="51"/>
      <c r="BG87" s="51"/>
      <c r="BH87" s="51"/>
      <c r="BI87" s="51"/>
      <c r="BJ87" s="62"/>
      <c r="BK87" s="62"/>
      <c r="BL87" s="111"/>
      <c r="BM87" s="111"/>
      <c r="BN87" s="111"/>
      <c r="BO87" s="146"/>
      <c r="BP87" s="51"/>
      <c r="BQ87" s="274"/>
      <c r="BR87" s="113"/>
      <c r="BS87" s="276"/>
      <c r="BT87" s="276"/>
      <c r="BU87" s="62"/>
      <c r="BV87" s="62"/>
      <c r="BW87" s="62"/>
      <c r="BX87" s="62"/>
      <c r="BY87" s="111"/>
      <c r="BZ87" s="111"/>
      <c r="CA87" s="111"/>
      <c r="CB87" s="142"/>
      <c r="CC87" s="146"/>
      <c r="CD87" s="146"/>
      <c r="CE87" s="146"/>
      <c r="CF87" s="146"/>
      <c r="CG87" s="146"/>
      <c r="CH87" s="146"/>
      <c r="CI87" s="146"/>
      <c r="CJ87" s="146"/>
      <c r="CK87" s="146"/>
      <c r="CL87" s="146"/>
      <c r="CM87" s="146"/>
      <c r="CN87" s="146"/>
      <c r="CO87" s="146"/>
      <c r="CP87" s="146"/>
      <c r="CQ87" s="31"/>
      <c r="CR87" s="31"/>
      <c r="CS87" s="64"/>
      <c r="CT87" s="152"/>
      <c r="CU87" s="152"/>
      <c r="CV87" s="153"/>
      <c r="CW87" s="64"/>
      <c r="CX87" s="64"/>
      <c r="CY87" s="64"/>
      <c r="CZ87" s="64"/>
      <c r="DA87" s="64"/>
      <c r="DB87" s="159"/>
      <c r="DC87" s="31"/>
      <c r="DD87" s="146"/>
      <c r="DE87" s="51"/>
      <c r="DF87" s="274"/>
      <c r="DG87" s="113"/>
      <c r="DH87" s="275"/>
      <c r="DI87" s="144"/>
      <c r="DJ87" s="62"/>
      <c r="DK87" s="62"/>
      <c r="DL87" s="62"/>
      <c r="DM87" s="62"/>
      <c r="DN87" s="104"/>
      <c r="DO87" s="104"/>
      <c r="DP87" s="104"/>
      <c r="DQ87" s="142"/>
      <c r="DR87" s="146"/>
      <c r="DS87" s="31"/>
      <c r="DT87" s="31"/>
      <c r="DU87" s="64"/>
      <c r="DV87" s="152"/>
      <c r="DW87" s="152"/>
      <c r="DX87" s="153"/>
      <c r="DY87" s="64"/>
      <c r="DZ87" s="64"/>
      <c r="EA87" s="64"/>
      <c r="EB87" s="64"/>
      <c r="EC87" s="64"/>
      <c r="ED87" s="159"/>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row>
    <row r="88" spans="2:159">
      <c r="O88" s="93"/>
      <c r="AC88" s="93"/>
      <c r="AD88" s="51"/>
      <c r="AE88" s="107"/>
      <c r="AF88" s="113"/>
      <c r="AG88" s="276"/>
      <c r="AH88" s="144"/>
      <c r="AI88" s="62"/>
      <c r="AJ88" s="62"/>
      <c r="AK88" s="62"/>
      <c r="AL88" s="62"/>
      <c r="AM88" s="111"/>
      <c r="AN88" s="111"/>
      <c r="AO88" s="111"/>
      <c r="AP88" s="111"/>
      <c r="AQ88" s="146"/>
      <c r="AR88" s="51"/>
      <c r="AS88" s="274"/>
      <c r="AT88" s="113"/>
      <c r="AU88" s="276"/>
      <c r="AV88" s="276"/>
      <c r="AW88" s="62"/>
      <c r="AX88" s="62"/>
      <c r="AY88" s="62"/>
      <c r="AZ88" s="62"/>
      <c r="BA88" s="111"/>
      <c r="BB88" s="111"/>
      <c r="BC88" s="111"/>
      <c r="BD88" s="142"/>
      <c r="BE88" s="51"/>
      <c r="BF88" s="51"/>
      <c r="BG88" s="51"/>
      <c r="BH88" s="51"/>
      <c r="BI88" s="51"/>
      <c r="BJ88" s="62"/>
      <c r="BK88" s="62"/>
      <c r="BL88" s="111"/>
      <c r="BM88" s="111"/>
      <c r="BN88" s="111"/>
      <c r="BO88" s="146"/>
      <c r="BP88" s="51"/>
      <c r="BQ88" s="274"/>
      <c r="BR88" s="113"/>
      <c r="BS88" s="276"/>
      <c r="BT88" s="276"/>
      <c r="BU88" s="62"/>
      <c r="BV88" s="62"/>
      <c r="BW88" s="62"/>
      <c r="BX88" s="62"/>
      <c r="BY88" s="111"/>
      <c r="BZ88" s="111"/>
      <c r="CA88" s="111"/>
      <c r="CB88" s="142"/>
      <c r="CC88" s="146"/>
      <c r="CD88" s="146"/>
      <c r="CE88" s="146"/>
      <c r="CF88" s="146"/>
      <c r="CG88" s="146"/>
      <c r="CH88" s="146"/>
      <c r="CI88" s="146"/>
      <c r="CJ88" s="146"/>
      <c r="CK88" s="146"/>
      <c r="CL88" s="146"/>
      <c r="CM88" s="146"/>
      <c r="CN88" s="146"/>
      <c r="CO88" s="146"/>
      <c r="CP88" s="146"/>
      <c r="CQ88" s="175" t="s">
        <v>101</v>
      </c>
      <c r="CR88" s="175"/>
      <c r="CS88" s="331" t="e">
        <f>+SUM(Hidden_Calculation!CS77:CS80)/Input!$F$213</f>
        <v>#DIV/0!</v>
      </c>
      <c r="CT88" s="140"/>
      <c r="CU88" s="140"/>
      <c r="CV88" s="153"/>
      <c r="CW88" s="153"/>
      <c r="CX88" s="153"/>
      <c r="CY88" s="153"/>
      <c r="CZ88" s="154"/>
      <c r="DA88" s="154"/>
      <c r="DB88" s="154"/>
      <c r="DC88" s="31"/>
      <c r="DD88" s="146"/>
      <c r="DE88" s="51"/>
      <c r="DF88" s="274"/>
      <c r="DG88" s="113"/>
      <c r="DH88" s="276"/>
      <c r="DI88" s="144"/>
      <c r="DJ88" s="62"/>
      <c r="DK88" s="62"/>
      <c r="DL88" s="62"/>
      <c r="DM88" s="62"/>
      <c r="DN88" s="104"/>
      <c r="DO88" s="104"/>
      <c r="DP88" s="104"/>
      <c r="DQ88" s="142"/>
      <c r="DR88" s="146"/>
      <c r="DS88" s="175" t="str">
        <f>CQ88</f>
        <v>Waste %</v>
      </c>
      <c r="DT88" s="175"/>
      <c r="DU88" s="331" t="e">
        <f>+SUM(Hidden_Calculation!DU77:DU80)/Input!F213</f>
        <v>#DIV/0!</v>
      </c>
      <c r="DV88" s="140"/>
      <c r="DW88" s="140"/>
      <c r="DX88" s="153"/>
      <c r="DY88" s="153"/>
      <c r="DZ88" s="153"/>
      <c r="EA88" s="153"/>
      <c r="EB88" s="154"/>
      <c r="EC88" s="154"/>
      <c r="ED88" s="154"/>
      <c r="EE88" s="146"/>
      <c r="EF88" s="146"/>
      <c r="EG88" s="146"/>
      <c r="EH88" s="146"/>
      <c r="EI88" s="146"/>
      <c r="EJ88" s="146"/>
      <c r="EK88" s="146"/>
      <c r="EL88" s="146"/>
      <c r="EM88" s="146"/>
      <c r="EN88" s="146"/>
      <c r="EO88" s="146"/>
      <c r="EP88" s="146"/>
      <c r="EQ88" s="146"/>
      <c r="ER88" s="146"/>
      <c r="ES88" s="146"/>
      <c r="ET88" s="146"/>
      <c r="EU88" s="146"/>
      <c r="EV88" s="146"/>
      <c r="EW88" s="146"/>
      <c r="EX88" s="146"/>
      <c r="EY88" s="146"/>
      <c r="EZ88" s="146"/>
      <c r="FA88" s="146"/>
      <c r="FB88" s="146"/>
      <c r="FC88" s="146"/>
    </row>
    <row r="89" spans="2:159">
      <c r="O89" s="93"/>
      <c r="AC89" s="93"/>
      <c r="AD89" s="51"/>
      <c r="AE89" s="107"/>
      <c r="AF89" s="113"/>
      <c r="AG89" s="276"/>
      <c r="AH89" s="144"/>
      <c r="AI89" s="62"/>
      <c r="AJ89" s="62"/>
      <c r="AK89" s="62"/>
      <c r="AL89" s="62"/>
      <c r="AM89" s="111"/>
      <c r="AN89" s="111"/>
      <c r="AO89" s="111"/>
      <c r="AP89" s="111"/>
      <c r="AQ89" s="146"/>
      <c r="AR89" s="51"/>
      <c r="AS89" s="274"/>
      <c r="AT89" s="113"/>
      <c r="AU89" s="276"/>
      <c r="AV89" s="276"/>
      <c r="AW89" s="62"/>
      <c r="AX89" s="62"/>
      <c r="AY89" s="62"/>
      <c r="AZ89" s="62"/>
      <c r="BA89" s="111"/>
      <c r="BB89" s="111"/>
      <c r="BC89" s="111"/>
      <c r="BD89" s="142"/>
      <c r="BE89" s="51"/>
      <c r="BF89" s="51"/>
      <c r="BG89" s="51"/>
      <c r="BH89" s="51"/>
      <c r="BI89" s="51"/>
      <c r="BJ89" s="62"/>
      <c r="BK89" s="62"/>
      <c r="BL89" s="111"/>
      <c r="BM89" s="111"/>
      <c r="BN89" s="111"/>
      <c r="BO89" s="274"/>
      <c r="BP89" s="274"/>
      <c r="BQ89" s="274"/>
      <c r="BR89" s="113"/>
      <c r="BS89" s="276"/>
      <c r="BT89" s="276"/>
      <c r="BU89" s="62"/>
      <c r="BV89" s="62"/>
      <c r="BW89" s="62"/>
      <c r="BX89" s="62"/>
      <c r="BY89" s="111"/>
      <c r="BZ89" s="111"/>
      <c r="CA89" s="111"/>
      <c r="CB89" s="142"/>
      <c r="CC89" s="146"/>
      <c r="CD89" s="146"/>
      <c r="CE89" s="146"/>
      <c r="CF89" s="146"/>
      <c r="CG89" s="146"/>
      <c r="CH89" s="146"/>
      <c r="CI89" s="146"/>
      <c r="CJ89" s="146"/>
      <c r="CK89" s="146"/>
      <c r="CL89" s="146"/>
      <c r="CM89" s="146"/>
      <c r="CN89" s="146"/>
      <c r="CO89" s="146"/>
      <c r="CP89" s="146"/>
      <c r="CQ89" s="31"/>
      <c r="CR89" s="31"/>
      <c r="CS89" s="31"/>
      <c r="CT89" s="176"/>
      <c r="CU89" s="176"/>
      <c r="CV89" s="153"/>
      <c r="CW89" s="153"/>
      <c r="CX89" s="153"/>
      <c r="CY89" s="153"/>
      <c r="CZ89" s="154"/>
      <c r="DA89" s="154"/>
      <c r="DB89" s="154"/>
      <c r="DC89" s="31"/>
      <c r="DD89" s="146"/>
      <c r="DE89" s="51"/>
      <c r="DF89" s="274"/>
      <c r="DG89" s="113"/>
      <c r="DH89" s="276"/>
      <c r="DI89" s="144"/>
      <c r="DJ89" s="62"/>
      <c r="DK89" s="62"/>
      <c r="DL89" s="62"/>
      <c r="DM89" s="62"/>
      <c r="DN89" s="104"/>
      <c r="DO89" s="104"/>
      <c r="DP89" s="104"/>
      <c r="DQ89" s="142"/>
      <c r="DR89" s="146"/>
      <c r="DS89" s="31"/>
      <c r="DT89" s="31"/>
      <c r="DU89" s="31"/>
      <c r="DV89" s="176"/>
      <c r="DW89" s="176"/>
      <c r="DX89" s="153"/>
      <c r="DY89" s="153"/>
      <c r="DZ89" s="153"/>
      <c r="EA89" s="153"/>
      <c r="EB89" s="154"/>
      <c r="EC89" s="154"/>
      <c r="ED89" s="154"/>
      <c r="EE89" s="146"/>
      <c r="EF89" s="146"/>
      <c r="EG89" s="146"/>
      <c r="EH89" s="146"/>
      <c r="EI89" s="146"/>
      <c r="EJ89" s="146"/>
      <c r="EK89" s="146"/>
      <c r="EL89" s="146"/>
      <c r="EM89" s="146"/>
      <c r="EN89" s="146"/>
      <c r="EO89" s="146"/>
      <c r="EP89" s="146"/>
      <c r="EQ89" s="146"/>
      <c r="ER89" s="146"/>
      <c r="ES89" s="146"/>
      <c r="ET89" s="146"/>
      <c r="EU89" s="146"/>
      <c r="EV89" s="146"/>
      <c r="EW89" s="146"/>
      <c r="EX89" s="146"/>
      <c r="EY89" s="146"/>
      <c r="EZ89" s="146"/>
      <c r="FA89" s="146"/>
      <c r="FB89" s="146"/>
      <c r="FC89" s="146"/>
    </row>
    <row r="90" spans="2:159">
      <c r="O90" s="93"/>
      <c r="AC90" s="93"/>
      <c r="AD90" s="51"/>
      <c r="AE90" s="107"/>
      <c r="AF90" s="113"/>
      <c r="AG90" s="276"/>
      <c r="AH90" s="144"/>
      <c r="AI90" s="62"/>
      <c r="AJ90" s="62"/>
      <c r="AK90" s="62"/>
      <c r="AL90" s="62"/>
      <c r="AM90" s="111"/>
      <c r="AN90" s="111"/>
      <c r="AO90" s="111"/>
      <c r="AP90" s="111"/>
      <c r="AQ90" s="146"/>
      <c r="AR90" s="51"/>
      <c r="AS90" s="274"/>
      <c r="AT90" s="113"/>
      <c r="AU90" s="276"/>
      <c r="AV90" s="276"/>
      <c r="AW90" s="62"/>
      <c r="AX90" s="62"/>
      <c r="AY90" s="62"/>
      <c r="AZ90" s="62"/>
      <c r="BA90" s="111"/>
      <c r="BB90" s="111"/>
      <c r="BC90" s="111"/>
      <c r="BD90" s="142"/>
      <c r="BE90" s="51"/>
      <c r="BF90" s="51"/>
      <c r="BG90" s="51"/>
      <c r="BH90" s="51"/>
      <c r="BI90" s="51"/>
      <c r="BJ90" s="62"/>
      <c r="BK90" s="62"/>
      <c r="BL90" s="111"/>
      <c r="BM90" s="111"/>
      <c r="BN90" s="111"/>
      <c r="BO90" s="274"/>
      <c r="BP90" s="274"/>
      <c r="BQ90" s="274"/>
      <c r="BR90" s="113"/>
      <c r="BS90" s="276"/>
      <c r="BT90" s="276"/>
      <c r="BU90" s="62"/>
      <c r="BV90" s="62"/>
      <c r="BW90" s="62"/>
      <c r="BX90" s="62"/>
      <c r="BY90" s="111"/>
      <c r="BZ90" s="111"/>
      <c r="CA90" s="111"/>
      <c r="CB90" s="142"/>
      <c r="CC90" s="146"/>
      <c r="CD90" s="146"/>
      <c r="CE90" s="146"/>
      <c r="CF90" s="146"/>
      <c r="CG90" s="146"/>
      <c r="CH90" s="146"/>
      <c r="CI90" s="146"/>
      <c r="CJ90" s="146"/>
      <c r="CK90" s="146"/>
      <c r="CL90" s="146"/>
      <c r="CM90" s="146"/>
      <c r="CN90" s="146"/>
      <c r="CO90" s="146"/>
      <c r="CP90" s="146"/>
      <c r="CQ90" s="175" t="s">
        <v>88</v>
      </c>
      <c r="CR90" s="175"/>
      <c r="CS90" s="332" t="e">
        <f>+Input!$F$91*(1-Hidden_Calculation!CS88)</f>
        <v>#DIV/0!</v>
      </c>
      <c r="CT90" s="177" t="str">
        <f>VLOOKUP("Units_kg",Hidden_Translations!$B$11:$J$1184,Hidden_Translations!$C$8,FALSE)</f>
        <v>[kg]</v>
      </c>
      <c r="CU90" s="176"/>
      <c r="CV90" s="153"/>
      <c r="CW90" s="153"/>
      <c r="CX90" s="153"/>
      <c r="CY90" s="153"/>
      <c r="CZ90" s="154"/>
      <c r="DA90" s="154"/>
      <c r="DB90" s="154"/>
      <c r="DC90" s="31"/>
      <c r="DD90" s="146"/>
      <c r="DE90" s="51"/>
      <c r="DF90" s="274"/>
      <c r="DG90" s="113"/>
      <c r="DH90" s="276"/>
      <c r="DI90" s="144"/>
      <c r="DJ90" s="62"/>
      <c r="DK90" s="62"/>
      <c r="DL90" s="62"/>
      <c r="DM90" s="62"/>
      <c r="DN90" s="104"/>
      <c r="DO90" s="104"/>
      <c r="DP90" s="104"/>
      <c r="DQ90" s="142"/>
      <c r="DR90" s="146"/>
      <c r="DS90" s="175" t="s">
        <v>287</v>
      </c>
      <c r="DT90" s="175"/>
      <c r="DU90" s="332" t="e">
        <f>+CS90*(1-DU88)</f>
        <v>#DIV/0!</v>
      </c>
      <c r="DV90" s="177" t="s">
        <v>181</v>
      </c>
      <c r="DW90" s="177"/>
      <c r="DX90" s="153"/>
      <c r="DY90" s="153"/>
      <c r="DZ90" s="153"/>
      <c r="EA90" s="153"/>
      <c r="EB90" s="154"/>
      <c r="EC90" s="154"/>
      <c r="ED90" s="154"/>
      <c r="EE90" s="146"/>
      <c r="EF90" s="146"/>
      <c r="EG90" s="146"/>
      <c r="EH90" s="146"/>
      <c r="EI90" s="146"/>
      <c r="EJ90" s="146"/>
      <c r="EK90" s="146"/>
      <c r="EL90" s="146"/>
      <c r="EM90" s="146"/>
      <c r="EN90" s="146"/>
      <c r="EO90" s="146"/>
      <c r="EP90" s="146"/>
      <c r="EQ90" s="146"/>
      <c r="ER90" s="146"/>
      <c r="ES90" s="146"/>
      <c r="ET90" s="146"/>
      <c r="EU90" s="146"/>
      <c r="EV90" s="146"/>
      <c r="EW90" s="146"/>
      <c r="EX90" s="146"/>
      <c r="EY90" s="146"/>
      <c r="EZ90" s="146"/>
      <c r="FA90" s="146"/>
      <c r="FB90" s="146"/>
      <c r="FC90" s="146"/>
    </row>
    <row r="91" spans="2:159">
      <c r="O91" s="93"/>
      <c r="AC91" s="93"/>
      <c r="AD91" s="51"/>
      <c r="AE91" s="107"/>
      <c r="AF91" s="113"/>
      <c r="AG91" s="276"/>
      <c r="AH91" s="144"/>
      <c r="AI91" s="62"/>
      <c r="AJ91" s="62"/>
      <c r="AK91" s="62"/>
      <c r="AL91" s="62"/>
      <c r="AM91" s="111"/>
      <c r="AN91" s="111"/>
      <c r="AO91" s="111"/>
      <c r="AP91" s="111"/>
      <c r="AQ91" s="146"/>
      <c r="AR91" s="51"/>
      <c r="AS91" s="274"/>
      <c r="AT91" s="113"/>
      <c r="AU91" s="276"/>
      <c r="AV91" s="276"/>
      <c r="AW91" s="62"/>
      <c r="AX91" s="62"/>
      <c r="AY91" s="62"/>
      <c r="AZ91" s="62"/>
      <c r="BA91" s="111"/>
      <c r="BB91" s="111"/>
      <c r="BC91" s="111"/>
      <c r="BD91" s="142"/>
      <c r="BE91" s="51"/>
      <c r="BF91" s="51"/>
      <c r="BG91" s="51"/>
      <c r="BH91" s="51"/>
      <c r="BI91" s="51"/>
      <c r="BJ91" s="62"/>
      <c r="BK91" s="62"/>
      <c r="BL91" s="111"/>
      <c r="BM91" s="111"/>
      <c r="BN91" s="111"/>
      <c r="BO91" s="274"/>
      <c r="BP91" s="274"/>
      <c r="BQ91" s="274"/>
      <c r="BR91" s="113"/>
      <c r="BS91" s="276"/>
      <c r="BT91" s="276"/>
      <c r="BU91" s="62"/>
      <c r="BV91" s="62"/>
      <c r="BW91" s="62"/>
      <c r="BX91" s="62"/>
      <c r="BY91" s="111"/>
      <c r="BZ91" s="111"/>
      <c r="CA91" s="111"/>
      <c r="CB91" s="142"/>
      <c r="CC91" s="146"/>
      <c r="CD91" s="146"/>
      <c r="CE91" s="146"/>
      <c r="CF91" s="146"/>
      <c r="CG91" s="146"/>
      <c r="CH91" s="146"/>
      <c r="CI91" s="146"/>
      <c r="CJ91" s="146"/>
      <c r="CK91" s="146"/>
      <c r="CL91" s="146"/>
      <c r="CM91" s="146"/>
      <c r="CN91" s="146"/>
      <c r="CO91" s="146"/>
      <c r="CP91" s="146"/>
      <c r="CQ91" s="31"/>
      <c r="CR91" s="31"/>
      <c r="CS91" s="31"/>
      <c r="CT91" s="176"/>
      <c r="CU91" s="176"/>
      <c r="CV91" s="153"/>
      <c r="CW91" s="153"/>
      <c r="CX91" s="153"/>
      <c r="CY91" s="153"/>
      <c r="CZ91" s="154"/>
      <c r="DA91" s="154"/>
      <c r="DB91" s="154"/>
      <c r="DC91" s="31"/>
      <c r="DD91" s="146"/>
      <c r="DE91" s="51"/>
      <c r="DF91" s="274"/>
      <c r="DG91" s="113"/>
      <c r="DH91" s="276"/>
      <c r="DI91" s="144"/>
      <c r="DJ91" s="62"/>
      <c r="DK91" s="62"/>
      <c r="DL91" s="62"/>
      <c r="DM91" s="62"/>
      <c r="DN91" s="104"/>
      <c r="DO91" s="104"/>
      <c r="DP91" s="104"/>
      <c r="DQ91" s="142"/>
      <c r="DR91" s="146"/>
      <c r="DS91" s="31"/>
      <c r="DT91" s="31"/>
      <c r="DU91" s="31"/>
      <c r="DV91" s="176"/>
      <c r="DW91" s="176"/>
      <c r="DX91" s="153"/>
      <c r="DY91" s="153"/>
      <c r="DZ91" s="153"/>
      <c r="EA91" s="153"/>
      <c r="EB91" s="154"/>
      <c r="EC91" s="154"/>
      <c r="ED91" s="154"/>
      <c r="EE91" s="146"/>
      <c r="EF91" s="146"/>
      <c r="EG91" s="146"/>
      <c r="EH91" s="146"/>
      <c r="EI91" s="146"/>
      <c r="EJ91" s="146"/>
      <c r="EK91" s="146"/>
      <c r="EL91" s="146"/>
      <c r="EM91" s="146"/>
      <c r="EN91" s="146"/>
      <c r="EO91" s="146"/>
      <c r="EP91" s="146"/>
      <c r="EQ91" s="146"/>
      <c r="ER91" s="146"/>
      <c r="ES91" s="146"/>
      <c r="ET91" s="146"/>
      <c r="EU91" s="146"/>
      <c r="EV91" s="146"/>
      <c r="EW91" s="146"/>
      <c r="EX91" s="146"/>
      <c r="EY91" s="146"/>
      <c r="EZ91" s="146"/>
      <c r="FA91" s="146"/>
      <c r="FB91" s="146"/>
      <c r="FC91" s="146"/>
    </row>
    <row r="92" spans="2:159">
      <c r="B92" s="69" t="str">
        <f>VLOOKUP("Hidden_Calculation_Header_LCA_Results_Absolute",Hidden_Translations!$B$11:$J$1184,Hidden_Translations!$C$8,FALSE)</f>
        <v>LCA results: Absolute impact</v>
      </c>
      <c r="C92" s="70"/>
      <c r="D92" s="70"/>
      <c r="E92" s="169"/>
      <c r="F92" s="70"/>
      <c r="G92" s="70"/>
      <c r="H92" s="70"/>
      <c r="I92" s="70"/>
      <c r="J92" s="70"/>
      <c r="K92" s="70"/>
      <c r="L92" s="157"/>
      <c r="M92" s="157"/>
      <c r="N92" s="157"/>
      <c r="O92" s="93"/>
      <c r="P92" s="69" t="str">
        <f>B92</f>
        <v>LCA results: Absolute impact</v>
      </c>
      <c r="Q92" s="70"/>
      <c r="R92" s="70"/>
      <c r="S92" s="169"/>
      <c r="T92" s="70"/>
      <c r="U92" s="70"/>
      <c r="V92" s="70"/>
      <c r="W92" s="70"/>
      <c r="X92" s="70"/>
      <c r="Y92" s="70"/>
      <c r="Z92" s="157"/>
      <c r="AA92" s="157"/>
      <c r="AB92" s="157"/>
      <c r="AC92" s="93"/>
      <c r="AD92" s="69" t="str">
        <f>B92</f>
        <v>LCA results: Absolute impact</v>
      </c>
      <c r="AE92" s="70"/>
      <c r="AF92" s="70"/>
      <c r="AG92" s="169"/>
      <c r="AH92" s="70"/>
      <c r="AI92" s="70"/>
      <c r="AJ92" s="70"/>
      <c r="AK92" s="70"/>
      <c r="AL92" s="70"/>
      <c r="AM92" s="70"/>
      <c r="AN92" s="157"/>
      <c r="AO92" s="157"/>
      <c r="AP92" s="157"/>
      <c r="AQ92" s="146"/>
      <c r="AR92" s="69" t="str">
        <f>AD92</f>
        <v>LCA results: Absolute impact</v>
      </c>
      <c r="AS92" s="70"/>
      <c r="AT92" s="70"/>
      <c r="AU92" s="169"/>
      <c r="AV92" s="70"/>
      <c r="AW92" s="70"/>
      <c r="AX92" s="70"/>
      <c r="AY92" s="70"/>
      <c r="AZ92" s="70"/>
      <c r="BA92" s="70"/>
      <c r="BB92" s="157"/>
      <c r="BC92" s="157"/>
      <c r="BD92" s="142"/>
      <c r="BE92" s="69" t="str">
        <f>AR92</f>
        <v>LCA results: Absolute impact</v>
      </c>
      <c r="BF92" s="70"/>
      <c r="BG92" s="70"/>
      <c r="BH92" s="169"/>
      <c r="BI92" s="70"/>
      <c r="BJ92" s="70"/>
      <c r="BK92" s="70"/>
      <c r="BL92" s="70"/>
      <c r="BM92" s="157"/>
      <c r="BN92" s="157"/>
      <c r="BO92" s="274"/>
      <c r="BP92" s="69" t="str">
        <f>BE92</f>
        <v>LCA results: Absolute impact</v>
      </c>
      <c r="BQ92" s="70"/>
      <c r="BR92" s="70"/>
      <c r="BS92" s="169"/>
      <c r="BT92" s="70"/>
      <c r="BU92" s="70"/>
      <c r="BV92" s="70"/>
      <c r="BW92" s="70"/>
      <c r="BX92" s="70"/>
      <c r="BY92" s="70"/>
      <c r="BZ92" s="157"/>
      <c r="CA92" s="157"/>
      <c r="CB92" s="142"/>
      <c r="CC92" s="69" t="str">
        <f>B92</f>
        <v>LCA results: Absolute impact</v>
      </c>
      <c r="CD92" s="70"/>
      <c r="CE92" s="70"/>
      <c r="CF92" s="169"/>
      <c r="CG92" s="70"/>
      <c r="CH92" s="70"/>
      <c r="CI92" s="70"/>
      <c r="CJ92" s="70"/>
      <c r="CK92" s="70"/>
      <c r="CL92" s="70"/>
      <c r="CM92" s="157"/>
      <c r="CN92" s="157"/>
      <c r="CO92" s="157"/>
      <c r="CP92" s="146"/>
      <c r="CQ92" s="69" t="str">
        <f>B92</f>
        <v>LCA results: Absolute impact</v>
      </c>
      <c r="CR92" s="70"/>
      <c r="CS92" s="70"/>
      <c r="CT92" s="169"/>
      <c r="CU92" s="70"/>
      <c r="CV92" s="70"/>
      <c r="CW92" s="70"/>
      <c r="CX92" s="70"/>
      <c r="CY92" s="70"/>
      <c r="CZ92" s="70"/>
      <c r="DA92" s="157"/>
      <c r="DB92" s="157"/>
      <c r="DC92" s="157"/>
      <c r="DD92" s="146"/>
      <c r="DE92" s="69" t="str">
        <f>B92</f>
        <v>LCA results: Absolute impact</v>
      </c>
      <c r="DF92" s="70"/>
      <c r="DG92" s="70"/>
      <c r="DH92" s="169"/>
      <c r="DI92" s="70"/>
      <c r="DJ92" s="70"/>
      <c r="DK92" s="70"/>
      <c r="DL92" s="70"/>
      <c r="DM92" s="70"/>
      <c r="DN92" s="70"/>
      <c r="DO92" s="157"/>
      <c r="DP92" s="157"/>
      <c r="DQ92" s="157"/>
      <c r="DR92" s="146"/>
      <c r="DS92" s="69" t="str">
        <f>P92</f>
        <v>LCA results: Absolute impact</v>
      </c>
      <c r="DT92" s="70"/>
      <c r="DU92" s="70"/>
      <c r="DV92" s="169"/>
      <c r="DW92" s="70"/>
      <c r="DX92" s="70"/>
      <c r="DY92" s="70"/>
      <c r="DZ92" s="70"/>
      <c r="EA92" s="70"/>
      <c r="EB92" s="70"/>
      <c r="EC92" s="157"/>
      <c r="ED92" s="157"/>
      <c r="EE92" s="157"/>
      <c r="EF92" s="146"/>
      <c r="EG92" s="69" t="str">
        <f>AD92</f>
        <v>LCA results: Absolute impact</v>
      </c>
      <c r="EH92" s="70"/>
      <c r="EI92" s="70"/>
      <c r="EJ92" s="169"/>
      <c r="EK92" s="70"/>
      <c r="EL92" s="70"/>
      <c r="EM92" s="70"/>
      <c r="EN92" s="70"/>
      <c r="EO92" s="70"/>
      <c r="EP92" s="70"/>
      <c r="EQ92" s="157"/>
      <c r="ER92" s="157"/>
      <c r="ES92" s="157"/>
      <c r="ET92" s="146"/>
      <c r="EU92" s="146"/>
      <c r="EV92" s="146"/>
      <c r="EW92" s="146"/>
      <c r="EX92" s="146"/>
      <c r="EY92" s="146"/>
      <c r="EZ92" s="146"/>
      <c r="FA92" s="146"/>
      <c r="FB92" s="146"/>
      <c r="FC92" s="146"/>
    </row>
    <row r="93" spans="2:159">
      <c r="K93" s="147" t="str">
        <f>K32</f>
        <v>GWP</v>
      </c>
      <c r="L93" s="147" t="str">
        <f>L32</f>
        <v>CED</v>
      </c>
      <c r="M93" s="147" t="str">
        <f>M32</f>
        <v>AWARE</v>
      </c>
      <c r="N93" s="147" t="str">
        <f>N32</f>
        <v>Price</v>
      </c>
      <c r="O93" s="93"/>
      <c r="Y93" s="147" t="str">
        <f>K93</f>
        <v>GWP</v>
      </c>
      <c r="Z93" s="147" t="str">
        <f t="shared" ref="Z93" si="70">L93</f>
        <v>CED</v>
      </c>
      <c r="AA93" s="147" t="str">
        <f t="shared" ref="AA93" si="71">M93</f>
        <v>AWARE</v>
      </c>
      <c r="AB93" s="147" t="str">
        <f t="shared" ref="AB93" si="72">N93</f>
        <v>Price</v>
      </c>
      <c r="AC93" s="51"/>
      <c r="AM93" s="147" t="str">
        <f t="shared" ref="AM93:AP94" si="73">Y93</f>
        <v>GWP</v>
      </c>
      <c r="AN93" s="147" t="str">
        <f t="shared" si="73"/>
        <v>CED</v>
      </c>
      <c r="AO93" s="147" t="str">
        <f t="shared" si="73"/>
        <v>AWARE</v>
      </c>
      <c r="AP93" s="147" t="str">
        <f t="shared" si="73"/>
        <v>Price</v>
      </c>
      <c r="AQ93" s="146"/>
      <c r="AR93" s="92"/>
      <c r="BA93" s="147" t="str">
        <f>K93</f>
        <v>GWP</v>
      </c>
      <c r="BB93" s="147" t="str">
        <f t="shared" ref="BB93" si="74">L93</f>
        <v>CED</v>
      </c>
      <c r="BC93" s="147" t="str">
        <f t="shared" ref="BC93" si="75">M93</f>
        <v>AWARE</v>
      </c>
      <c r="BD93" s="142"/>
      <c r="BL93" s="147" t="str">
        <f>K93</f>
        <v>GWP</v>
      </c>
      <c r="BM93" s="147" t="str">
        <f t="shared" ref="BM93" si="76">L93</f>
        <v>CED</v>
      </c>
      <c r="BN93" s="147" t="str">
        <f t="shared" ref="BN93" si="77">M93</f>
        <v>AWARE</v>
      </c>
      <c r="BO93" s="274"/>
      <c r="BY93" s="147" t="str">
        <f>K93</f>
        <v>GWP</v>
      </c>
      <c r="BZ93" s="147" t="str">
        <f t="shared" ref="BZ93" si="78">L93</f>
        <v>CED</v>
      </c>
      <c r="CA93" s="147" t="str">
        <f t="shared" ref="CA93" si="79">M93</f>
        <v>AWARE</v>
      </c>
      <c r="CB93" s="142"/>
      <c r="CD93" s="92"/>
      <c r="CL93" s="147" t="str">
        <f>K93</f>
        <v>GWP</v>
      </c>
      <c r="CM93" s="147" t="str">
        <f t="shared" ref="CM93" si="80">L93</f>
        <v>CED</v>
      </c>
      <c r="CN93" s="147" t="str">
        <f t="shared" ref="CN93" si="81">M93</f>
        <v>AWARE</v>
      </c>
      <c r="CO93" s="147" t="str">
        <f t="shared" ref="CO93" si="82">N93</f>
        <v>Price</v>
      </c>
      <c r="CP93" s="146"/>
      <c r="CR93" s="92"/>
      <c r="CZ93" s="147" t="str">
        <f>Y93</f>
        <v>GWP</v>
      </c>
      <c r="DA93" s="147" t="str">
        <f t="shared" ref="DA93" si="83">Z93</f>
        <v>CED</v>
      </c>
      <c r="DB93" s="147" t="str">
        <f t="shared" ref="DB93" si="84">AA93</f>
        <v>AWARE</v>
      </c>
      <c r="DC93" s="147" t="str">
        <f t="shared" ref="DC93" si="85">AB93</f>
        <v>Price</v>
      </c>
      <c r="DD93" s="146"/>
      <c r="DF93" s="92"/>
      <c r="DN93" s="147" t="str">
        <f>AM93</f>
        <v>GWP</v>
      </c>
      <c r="DO93" s="147" t="str">
        <f t="shared" ref="DO93" si="86">AN93</f>
        <v>CED</v>
      </c>
      <c r="DP93" s="147" t="str">
        <f t="shared" ref="DP93" si="87">AO93</f>
        <v>AWARE</v>
      </c>
      <c r="DQ93" s="147" t="str">
        <f t="shared" ref="DQ93" si="88">AP93</f>
        <v>Price</v>
      </c>
      <c r="DR93" s="146"/>
      <c r="EB93" s="147" t="str">
        <f>K93</f>
        <v>GWP</v>
      </c>
      <c r="EC93" s="147" t="str">
        <f t="shared" ref="EC93" si="89">L93</f>
        <v>CED</v>
      </c>
      <c r="ED93" s="147" t="str">
        <f t="shared" ref="ED93" si="90">M93</f>
        <v>AWARE</v>
      </c>
      <c r="EE93" s="147" t="str">
        <f t="shared" ref="EE93" si="91">N93</f>
        <v>Price</v>
      </c>
      <c r="EF93" s="146"/>
      <c r="EP93" s="147" t="str">
        <f>K93</f>
        <v>GWP</v>
      </c>
      <c r="EQ93" s="147" t="str">
        <f t="shared" ref="EQ93" si="92">L93</f>
        <v>CED</v>
      </c>
      <c r="ER93" s="147" t="str">
        <f t="shared" ref="ER93" si="93">M93</f>
        <v>AWARE</v>
      </c>
      <c r="ES93" s="147" t="str">
        <f t="shared" ref="ES93" si="94">N93</f>
        <v>Price</v>
      </c>
      <c r="ET93" s="146"/>
      <c r="EU93" s="146"/>
      <c r="EV93" s="146"/>
      <c r="EW93" s="146"/>
      <c r="EX93" s="146"/>
      <c r="EY93" s="146"/>
      <c r="EZ93" s="146"/>
      <c r="FA93" s="146"/>
      <c r="FB93" s="146"/>
      <c r="FC93" s="146"/>
    </row>
    <row r="94" spans="2:159">
      <c r="K94" s="147" t="str">
        <f>VLOOKUP("Units_kg_CO2_eq",Hidden_Translations!$B$11:$J$1184,Hidden_Translations!$C$8,FALSE)</f>
        <v>[kg CO2 eq.]</v>
      </c>
      <c r="L94" s="147" t="str">
        <f>VLOOKUP("Units_MJ",Hidden_Translations!$B$11:$J$1184,Hidden_Translations!$C$8,FALSE)</f>
        <v>[MJ]</v>
      </c>
      <c r="M94" s="147" t="str">
        <f>VLOOKUP("Units_m3_eq",Hidden_Translations!$B$11:$J$1184,Hidden_Translations!$C$8,FALSE)</f>
        <v>[m³ eq.]</v>
      </c>
      <c r="N94" s="147" t="str">
        <f>VLOOKUP("Units_EUro",Hidden_Translations!$B$11:$J$1184,Hidden_Translations!$C$8,FALSE)</f>
        <v>[Euro]</v>
      </c>
      <c r="O94" s="93"/>
      <c r="Y94" s="147" t="str">
        <f>K94</f>
        <v>[kg CO2 eq.]</v>
      </c>
      <c r="Z94" s="147" t="str">
        <f t="shared" ref="Z94:AB94" si="95">L94</f>
        <v>[MJ]</v>
      </c>
      <c r="AA94" s="147" t="str">
        <f t="shared" si="95"/>
        <v>[m³ eq.]</v>
      </c>
      <c r="AB94" s="147" t="str">
        <f t="shared" si="95"/>
        <v>[Euro]</v>
      </c>
      <c r="AC94" s="51"/>
      <c r="AM94" s="147" t="str">
        <f t="shared" si="73"/>
        <v>[kg CO2 eq.]</v>
      </c>
      <c r="AN94" s="147" t="str">
        <f t="shared" si="73"/>
        <v>[MJ]</v>
      </c>
      <c r="AO94" s="147" t="str">
        <f t="shared" si="73"/>
        <v>[m³ eq.]</v>
      </c>
      <c r="AP94" s="147" t="str">
        <f t="shared" si="73"/>
        <v>[Euro]</v>
      </c>
      <c r="AQ94" s="146"/>
      <c r="AR94" s="92"/>
      <c r="BA94" s="147" t="str">
        <f>K94</f>
        <v>[kg CO2 eq.]</v>
      </c>
      <c r="BB94" s="147" t="str">
        <f t="shared" ref="BB94:BC94" si="96">L94</f>
        <v>[MJ]</v>
      </c>
      <c r="BC94" s="147" t="str">
        <f t="shared" si="96"/>
        <v>[m³ eq.]</v>
      </c>
      <c r="BD94" s="142"/>
      <c r="BL94" s="147" t="str">
        <f>K94</f>
        <v>[kg CO2 eq.]</v>
      </c>
      <c r="BM94" s="147" t="str">
        <f t="shared" ref="BM94:BN94" si="97">L94</f>
        <v>[MJ]</v>
      </c>
      <c r="BN94" s="147" t="str">
        <f t="shared" si="97"/>
        <v>[m³ eq.]</v>
      </c>
      <c r="BO94" s="274"/>
      <c r="BY94" s="147" t="str">
        <f>K94</f>
        <v>[kg CO2 eq.]</v>
      </c>
      <c r="BZ94" s="147" t="str">
        <f t="shared" ref="BZ94:CA94" si="98">L94</f>
        <v>[MJ]</v>
      </c>
      <c r="CA94" s="147" t="str">
        <f t="shared" si="98"/>
        <v>[m³ eq.]</v>
      </c>
      <c r="CB94" s="142"/>
      <c r="CD94" s="92"/>
      <c r="CL94" s="147" t="str">
        <f>K94</f>
        <v>[kg CO2 eq.]</v>
      </c>
      <c r="CM94" s="147" t="str">
        <f t="shared" ref="CM94:CO94" si="99">L94</f>
        <v>[MJ]</v>
      </c>
      <c r="CN94" s="147" t="str">
        <f t="shared" si="99"/>
        <v>[m³ eq.]</v>
      </c>
      <c r="CO94" s="147" t="str">
        <f t="shared" si="99"/>
        <v>[Euro]</v>
      </c>
      <c r="CP94" s="146"/>
      <c r="CR94" s="92"/>
      <c r="CZ94" s="147" t="str">
        <f>K94</f>
        <v>[kg CO2 eq.]</v>
      </c>
      <c r="DA94" s="147" t="str">
        <f t="shared" ref="DA94:DC94" si="100">L94</f>
        <v>[MJ]</v>
      </c>
      <c r="DB94" s="147" t="str">
        <f t="shared" si="100"/>
        <v>[m³ eq.]</v>
      </c>
      <c r="DC94" s="147" t="str">
        <f t="shared" si="100"/>
        <v>[Euro]</v>
      </c>
      <c r="DD94" s="146"/>
      <c r="DF94" s="92"/>
      <c r="DN94" s="147" t="str">
        <f>AM94</f>
        <v>[kg CO2 eq.]</v>
      </c>
      <c r="DO94" s="147" t="str">
        <f t="shared" ref="DO94" si="101">AN94</f>
        <v>[MJ]</v>
      </c>
      <c r="DP94" s="147" t="str">
        <f t="shared" ref="DP94" si="102">AO94</f>
        <v>[m³ eq.]</v>
      </c>
      <c r="DQ94" s="147" t="str">
        <f t="shared" ref="DQ94" si="103">AP94</f>
        <v>[Euro]</v>
      </c>
      <c r="DR94" s="146"/>
      <c r="EB94" s="147" t="str">
        <f>K94</f>
        <v>[kg CO2 eq.]</v>
      </c>
      <c r="EC94" s="147" t="str">
        <f t="shared" ref="EC94" si="104">L94</f>
        <v>[MJ]</v>
      </c>
      <c r="ED94" s="147" t="str">
        <f t="shared" ref="ED94" si="105">M94</f>
        <v>[m³ eq.]</v>
      </c>
      <c r="EE94" s="147" t="str">
        <f t="shared" ref="EE94" si="106">N94</f>
        <v>[Euro]</v>
      </c>
      <c r="EF94" s="146"/>
      <c r="EP94" s="147" t="str">
        <f>K94</f>
        <v>[kg CO2 eq.]</v>
      </c>
      <c r="EQ94" s="147" t="str">
        <f t="shared" ref="EQ94:ES94" si="107">L94</f>
        <v>[MJ]</v>
      </c>
      <c r="ER94" s="147" t="str">
        <f t="shared" si="107"/>
        <v>[m³ eq.]</v>
      </c>
      <c r="ES94" s="147" t="str">
        <f t="shared" si="107"/>
        <v>[Euro]</v>
      </c>
      <c r="ET94" s="146"/>
      <c r="EU94" s="146"/>
      <c r="EV94" s="146"/>
      <c r="EW94" s="146"/>
      <c r="EX94" s="146"/>
      <c r="EY94" s="146"/>
      <c r="EZ94" s="146"/>
      <c r="FA94" s="146"/>
      <c r="FB94" s="146"/>
      <c r="FC94" s="146"/>
    </row>
    <row r="95" spans="2:159">
      <c r="B95" s="90" t="str">
        <f>B18</f>
        <v>#1: LCA: Processing</v>
      </c>
      <c r="C95" s="90"/>
      <c r="D95" s="90"/>
      <c r="E95" s="90"/>
      <c r="F95" s="90"/>
      <c r="G95" s="90"/>
      <c r="H95" s="90"/>
      <c r="I95" s="90"/>
      <c r="J95" s="90"/>
      <c r="K95" s="302">
        <f>IF(COUNT(K19:K23)&gt;0,SUM(K19:K23),0)</f>
        <v>0</v>
      </c>
      <c r="L95" s="302">
        <f>IF(COUNT(L19:L23)&gt;0,SUM(L19:L23),0)</f>
        <v>0</v>
      </c>
      <c r="M95" s="302">
        <f>IF(COUNT(M19:M23)&gt;0,SUM(M19:M23),0)</f>
        <v>0</v>
      </c>
      <c r="N95" s="302">
        <f>IF(COUNT(N19:N23)&gt;0,SUM(N19:N23),0)</f>
        <v>0</v>
      </c>
      <c r="O95" s="93"/>
      <c r="P95" s="90" t="str">
        <f>P18</f>
        <v>#1: LCA: Processing</v>
      </c>
      <c r="Q95" s="90"/>
      <c r="R95" s="90"/>
      <c r="S95" s="90"/>
      <c r="T95" s="90"/>
      <c r="U95" s="90"/>
      <c r="V95" s="90"/>
      <c r="W95" s="90"/>
      <c r="X95" s="90"/>
      <c r="Y95" s="302">
        <f>IF(COUNT(Y19:Y23)&gt;0,SUM(Y19:Y23),0)</f>
        <v>0</v>
      </c>
      <c r="Z95" s="302">
        <f>IF(COUNT(Z19:Z23)&gt;0,SUM(Z19:Z23),0)</f>
        <v>0</v>
      </c>
      <c r="AA95" s="302">
        <f>IF(COUNT(AA19:AA23)&gt;0,SUM(AA19:AA23),0)</f>
        <v>0</v>
      </c>
      <c r="AB95" s="302">
        <f>IF(COUNT(AB19:AB23)&gt;0,SUM(AB19:AB23),0)</f>
        <v>0</v>
      </c>
      <c r="AC95" s="51"/>
      <c r="AD95" s="90" t="str">
        <f>AD18</f>
        <v>#1: LCA: Processing</v>
      </c>
      <c r="AE95" s="90"/>
      <c r="AF95" s="90"/>
      <c r="AG95" s="90"/>
      <c r="AH95" s="90"/>
      <c r="AI95" s="90"/>
      <c r="AJ95" s="90"/>
      <c r="AK95" s="90"/>
      <c r="AL95" s="90"/>
      <c r="AM95" s="188">
        <f>IF(COUNT(AM19:AM23)&gt;0,SUM(AM19:AM23),0)</f>
        <v>0</v>
      </c>
      <c r="AN95" s="188">
        <f>IF(COUNT(AN19:AN23)&gt;0,SUM(AN19:AN23),0)</f>
        <v>0</v>
      </c>
      <c r="AO95" s="188">
        <f>IF(COUNT(AO19:AO23)&gt;0,SUM(AO19:AO23),0)</f>
        <v>0</v>
      </c>
      <c r="AP95" s="188">
        <f>IF(COUNT(AP19:AP23)&gt;0,SUM(AP19:AP23),0)</f>
        <v>0</v>
      </c>
      <c r="AQ95" s="146"/>
      <c r="AR95" s="90" t="str">
        <f>AR18</f>
        <v>#1: LCA: Processing</v>
      </c>
      <c r="AS95" s="90"/>
      <c r="AT95" s="90"/>
      <c r="AU95" s="90"/>
      <c r="AV95" s="90"/>
      <c r="AW95" s="90"/>
      <c r="AX95" s="90"/>
      <c r="AY95" s="90"/>
      <c r="AZ95" s="90"/>
      <c r="BA95" s="188">
        <f>IF(COUNT(BA19:BA23)&gt;0,SUM(BA19:BA23),0)</f>
        <v>0</v>
      </c>
      <c r="BB95" s="188">
        <f>IF(COUNT(BB19:BB23)&gt;0,SUM(BB19:BB23),0)</f>
        <v>0</v>
      </c>
      <c r="BC95" s="188">
        <f>IF(COUNT(BC19:BC23)&gt;0,SUM(BC19:BC23),0)</f>
        <v>0</v>
      </c>
      <c r="BD95" s="142"/>
      <c r="BE95" s="90" t="str">
        <f>BE18</f>
        <v>#1: LCA: Processing</v>
      </c>
      <c r="BF95" s="90"/>
      <c r="BG95" s="90"/>
      <c r="BH95" s="90"/>
      <c r="BI95" s="90"/>
      <c r="BJ95" s="90"/>
      <c r="BK95" s="90"/>
      <c r="BL95" s="188">
        <f>IF(COUNT(BL19:BL23)&gt;0,SUM(BL19:BL23),0)</f>
        <v>0</v>
      </c>
      <c r="BM95" s="188">
        <f>IF(COUNT(BM19:BM23)&gt;0,SUM(BM19:BM23),0)</f>
        <v>0</v>
      </c>
      <c r="BN95" s="188">
        <f>IF(COUNT(BN19:BN23)&gt;0,SUM(BN19:BN23),0)</f>
        <v>0</v>
      </c>
      <c r="BO95" s="274"/>
      <c r="BP95" s="90" t="str">
        <f>BP18</f>
        <v>#1: LCA: Processing</v>
      </c>
      <c r="BQ95" s="90"/>
      <c r="BR95" s="90"/>
      <c r="BS95" s="90"/>
      <c r="BT95" s="90"/>
      <c r="BU95" s="90"/>
      <c r="BV95" s="90"/>
      <c r="BW95" s="90"/>
      <c r="BX95" s="90"/>
      <c r="BY95" s="188">
        <f>IF(COUNT(BY19:BY23)&gt;0,SUM(BY19:BY23),0)</f>
        <v>0</v>
      </c>
      <c r="BZ95" s="188">
        <f>IF(COUNT(BZ19:BZ23)&gt;0,SUM(BZ19:BZ23),0)</f>
        <v>0</v>
      </c>
      <c r="CA95" s="188">
        <f>IF(COUNT(CA19:CA23)&gt;0,SUM(CA19:CA23),0)</f>
        <v>0</v>
      </c>
      <c r="CB95" s="142"/>
      <c r="CC95" s="90" t="str">
        <f>CC18</f>
        <v>#1: LCA: Processing</v>
      </c>
      <c r="CD95" s="90"/>
      <c r="CE95" s="90"/>
      <c r="CF95" s="90"/>
      <c r="CG95" s="90"/>
      <c r="CH95" s="90"/>
      <c r="CI95" s="90"/>
      <c r="CJ95" s="90"/>
      <c r="CK95" s="90"/>
      <c r="CL95" s="188">
        <f>IF(COUNT(CL19:CL23)&gt;0,SUM(CL19:CL23),0)</f>
        <v>0</v>
      </c>
      <c r="CM95" s="188">
        <f>IF(COUNT(CM19:CM23)&gt;0,SUM(CM19:CM23),0)</f>
        <v>0</v>
      </c>
      <c r="CN95" s="188">
        <f>IF(COUNT(CN19:CN23)&gt;0,SUM(CN19:CN23),0)</f>
        <v>0</v>
      </c>
      <c r="CO95" s="188">
        <f>IF(COUNT(CO19:CO23)&gt;0,SUM(CO19:CO23),0)</f>
        <v>0</v>
      </c>
      <c r="CP95" s="146"/>
      <c r="CQ95" s="90" t="str">
        <f>CQ18</f>
        <v>#1: LCA: Processing</v>
      </c>
      <c r="CR95" s="90"/>
      <c r="CS95" s="90"/>
      <c r="CT95" s="90"/>
      <c r="CU95" s="90"/>
      <c r="CV95" s="90"/>
      <c r="CW95" s="90"/>
      <c r="CX95" s="90"/>
      <c r="CY95" s="90"/>
      <c r="CZ95" s="188">
        <f>IF(COUNT(CZ19:CZ23)&gt;0,SUM(CZ19:CZ23),0)</f>
        <v>0</v>
      </c>
      <c r="DA95" s="188">
        <f>IF(COUNT(DA19:DA23)&gt;0,SUM(DA19:DA23),0)</f>
        <v>0</v>
      </c>
      <c r="DB95" s="188">
        <f>IF(COUNT(DB19:DB23)&gt;0,SUM(DB19:DB23),0)</f>
        <v>0</v>
      </c>
      <c r="DC95" s="188">
        <f>IF(COUNT(DC19:DC23)&gt;0,SUM(DC19:DC23),0)</f>
        <v>0</v>
      </c>
      <c r="DD95" s="146"/>
      <c r="DE95" s="90" t="str">
        <f>DE18</f>
        <v>#1: LCA: Processing</v>
      </c>
      <c r="DF95" s="90"/>
      <c r="DG95" s="90"/>
      <c r="DH95" s="90"/>
      <c r="DI95" s="90"/>
      <c r="DJ95" s="90"/>
      <c r="DK95" s="90"/>
      <c r="DL95" s="90"/>
      <c r="DM95" s="90"/>
      <c r="DN95" s="188">
        <f>IF(COUNT(DN19:DN23)&gt;0,SUM(DN19:DN23),0)</f>
        <v>0</v>
      </c>
      <c r="DO95" s="188">
        <f>IF(COUNT(DO19:DO23)&gt;0,SUM(DO19:DO23),0)</f>
        <v>0</v>
      </c>
      <c r="DP95" s="188">
        <f>IF(COUNT(DP19:DP23)&gt;0,SUM(DP19:DP23),0)</f>
        <v>0</v>
      </c>
      <c r="DQ95" s="188">
        <f>IF(COUNT(DQ19:DQ23)&gt;0,SUM(DQ19:DQ23),0)</f>
        <v>0</v>
      </c>
      <c r="DR95" s="146"/>
      <c r="DS95" s="90" t="str">
        <f>DS18</f>
        <v>#1: LCA: Processing</v>
      </c>
      <c r="DT95" s="90"/>
      <c r="DU95" s="90"/>
      <c r="DV95" s="90"/>
      <c r="DW95" s="90"/>
      <c r="DX95" s="90"/>
      <c r="DY95" s="90"/>
      <c r="DZ95" s="90"/>
      <c r="EA95" s="90"/>
      <c r="EB95" s="188">
        <f>IF(COUNT(EB19:EB23)&gt;0,SUM(EB19:EB23),0)</f>
        <v>0</v>
      </c>
      <c r="EC95" s="188">
        <f>IF(COUNT(EC19:EC23)&gt;0,SUM(EC19:EC23),0)</f>
        <v>0</v>
      </c>
      <c r="ED95" s="188">
        <f>IF(COUNT(ED19:ED23)&gt;0,SUM(ED19:ED23),0)</f>
        <v>0</v>
      </c>
      <c r="EE95" s="188">
        <f>IF(COUNT(EE19:EE23)&gt;0,SUM(EE19:EE23),0)</f>
        <v>0</v>
      </c>
      <c r="EF95" s="146"/>
      <c r="EG95" s="90" t="str">
        <f>DS95</f>
        <v>#1: LCA: Processing</v>
      </c>
      <c r="EH95" s="90"/>
      <c r="EI95" s="90"/>
      <c r="EJ95" s="90"/>
      <c r="EK95" s="90"/>
      <c r="EL95" s="90"/>
      <c r="EM95" s="90"/>
      <c r="EN95" s="90"/>
      <c r="EO95" s="90"/>
      <c r="EP95" s="188">
        <f t="shared" ref="EP95:ES102" si="108">SUM(K95+Y95+AM95+BA95+BL95+BY95+CL95+CZ95+DN95+EB95)</f>
        <v>0</v>
      </c>
      <c r="EQ95" s="188">
        <f t="shared" si="108"/>
        <v>0</v>
      </c>
      <c r="ER95" s="188">
        <f t="shared" si="108"/>
        <v>0</v>
      </c>
      <c r="ES95" s="188">
        <f t="shared" si="108"/>
        <v>0</v>
      </c>
      <c r="ET95" s="146"/>
      <c r="EU95" s="146"/>
      <c r="EV95" s="146"/>
      <c r="EW95" s="146"/>
      <c r="EX95" s="146"/>
      <c r="EY95" s="146"/>
      <c r="EZ95" s="146"/>
      <c r="FA95" s="146"/>
      <c r="FB95" s="146"/>
      <c r="FC95" s="146"/>
    </row>
    <row r="96" spans="2:159">
      <c r="B96" s="90" t="str">
        <f>B24</f>
        <v>#2: LCA: Packaging</v>
      </c>
      <c r="C96" s="90"/>
      <c r="D96" s="90"/>
      <c r="E96" s="90"/>
      <c r="F96" s="90"/>
      <c r="G96" s="90"/>
      <c r="H96" s="90"/>
      <c r="I96" s="90"/>
      <c r="J96" s="90"/>
      <c r="K96" s="302">
        <f>IF(COUNT(K25:K30)&gt;0,SUM(K25:K30),0)</f>
        <v>0</v>
      </c>
      <c r="L96" s="302">
        <f>IF(COUNT(L25:L30)&gt;0,SUM(L25:L30),0)</f>
        <v>0</v>
      </c>
      <c r="M96" s="302">
        <f>IF(COUNT(M25:M30)&gt;0,SUM(M25:M30),0)</f>
        <v>0</v>
      </c>
      <c r="N96" s="302">
        <f>IF(COUNT(N25:N30)&gt;0,SUM(N25:N30),0)</f>
        <v>0</v>
      </c>
      <c r="O96" s="93"/>
      <c r="P96" s="90" t="str">
        <f>P24</f>
        <v>#2: LCA: Packaging</v>
      </c>
      <c r="Q96" s="90"/>
      <c r="R96" s="90"/>
      <c r="S96" s="90"/>
      <c r="T96" s="90"/>
      <c r="U96" s="90"/>
      <c r="V96" s="90"/>
      <c r="W96" s="90"/>
      <c r="X96" s="90"/>
      <c r="Y96" s="302">
        <f>IF(COUNT(Y25:Y30)&gt;0,SUM(Y25:Y30),0)</f>
        <v>0</v>
      </c>
      <c r="Z96" s="302">
        <f>IF(COUNT(Z25:Z30)&gt;0,SUM(Z25:Z30),0)</f>
        <v>0</v>
      </c>
      <c r="AA96" s="302">
        <f>IF(COUNT(AA25:AA30)&gt;0,SUM(AA25:AA30),0)</f>
        <v>0</v>
      </c>
      <c r="AB96" s="302">
        <f>IF(COUNT(AB25:AB30)&gt;0,SUM(AB25:AB30),0)</f>
        <v>0</v>
      </c>
      <c r="AC96" s="51"/>
      <c r="AD96" s="90" t="str">
        <f>AD24</f>
        <v>#2: LCA: Packaging</v>
      </c>
      <c r="AE96" s="90"/>
      <c r="AF96" s="90"/>
      <c r="AG96" s="90"/>
      <c r="AH96" s="90"/>
      <c r="AI96" s="90"/>
      <c r="AJ96" s="90"/>
      <c r="AK96" s="90"/>
      <c r="AL96" s="90"/>
      <c r="AM96" s="188">
        <f>IF(COUNT(AM25:AM30)&gt;0,SUM(AM25:AM30),0)</f>
        <v>0</v>
      </c>
      <c r="AN96" s="188">
        <f>IF(COUNT(AN25:AN30)&gt;0,SUM(AN25:AN30),0)</f>
        <v>0</v>
      </c>
      <c r="AO96" s="188">
        <f>IF(COUNT(AO25:AO30)&gt;0,SUM(AO25:AO30),0)</f>
        <v>0</v>
      </c>
      <c r="AP96" s="188">
        <f>IF(COUNT(AP25:AP30)&gt;0,SUM(AP25:AP30),0)</f>
        <v>0</v>
      </c>
      <c r="AQ96" s="146"/>
      <c r="AR96" s="90" t="str">
        <f>AR24</f>
        <v>#2: LCA: Packaging</v>
      </c>
      <c r="AS96" s="90"/>
      <c r="AT96" s="90"/>
      <c r="AU96" s="90"/>
      <c r="AV96" s="90"/>
      <c r="AW96" s="90"/>
      <c r="AX96" s="90"/>
      <c r="AY96" s="90"/>
      <c r="AZ96" s="90"/>
      <c r="BA96" s="188">
        <f>IF(COUNT(BA25:BA30)&gt;0,SUM(BA25:BA30),0)</f>
        <v>0</v>
      </c>
      <c r="BB96" s="188">
        <f>IF(COUNT(BB25:BB30)&gt;0,SUM(BB25:BB30),0)</f>
        <v>0</v>
      </c>
      <c r="BC96" s="188">
        <f>IF(COUNT(BC25:BC30)&gt;0,SUM(BC25:BC30),0)</f>
        <v>0</v>
      </c>
      <c r="BD96" s="142"/>
      <c r="BE96" s="90" t="str">
        <f>BE24</f>
        <v>#2: LCA: Packaging</v>
      </c>
      <c r="BF96" s="90"/>
      <c r="BG96" s="90"/>
      <c r="BH96" s="90"/>
      <c r="BI96" s="90"/>
      <c r="BJ96" s="90"/>
      <c r="BK96" s="90"/>
      <c r="BL96" s="188">
        <f>IF(COUNT(BL25:BL30)&gt;0,SUM(BL25:BL30),0)</f>
        <v>0</v>
      </c>
      <c r="BM96" s="188">
        <f>IF(COUNT(BM25:BM30)&gt;0,SUM(BM25:BM30),0)</f>
        <v>0</v>
      </c>
      <c r="BN96" s="188">
        <f>IF(COUNT(BN25:BN30)&gt;0,SUM(BN25:BN30),0)</f>
        <v>0</v>
      </c>
      <c r="BO96" s="274"/>
      <c r="BP96" s="90" t="str">
        <f>BP24</f>
        <v>#2: LCA: Packaging</v>
      </c>
      <c r="BQ96" s="90"/>
      <c r="BR96" s="90"/>
      <c r="BS96" s="90"/>
      <c r="BT96" s="90"/>
      <c r="BU96" s="90"/>
      <c r="BV96" s="90"/>
      <c r="BW96" s="90"/>
      <c r="BX96" s="90"/>
      <c r="BY96" s="188">
        <f>IF(COUNT(BY25:BY30)&gt;0,SUM(BY25:BY30),0)</f>
        <v>0</v>
      </c>
      <c r="BZ96" s="188">
        <f>IF(COUNT(BZ25:BZ30)&gt;0,SUM(BZ25:BZ30),0)</f>
        <v>0</v>
      </c>
      <c r="CA96" s="188">
        <f>IF(COUNT(CA25:CA30)&gt;0,SUM(CA25:CA30),0)</f>
        <v>0</v>
      </c>
      <c r="CB96" s="142"/>
      <c r="CC96" s="90" t="str">
        <f>CC24</f>
        <v>#2: LCA: Packaging</v>
      </c>
      <c r="CD96" s="90"/>
      <c r="CE96" s="90"/>
      <c r="CF96" s="90"/>
      <c r="CG96" s="90"/>
      <c r="CH96" s="90"/>
      <c r="CI96" s="90"/>
      <c r="CJ96" s="90"/>
      <c r="CK96" s="90"/>
      <c r="CL96" s="188">
        <f>IF(COUNT(CL25:CL30)&gt;0,SUM(CL25:CL30),0)</f>
        <v>0</v>
      </c>
      <c r="CM96" s="188">
        <f>IF(COUNT(CM25:CM30)&gt;0,SUM(CM25:CM30),0)</f>
        <v>0</v>
      </c>
      <c r="CN96" s="188">
        <f>IF(COUNT(CN25:CN30)&gt;0,SUM(CN25:CN30),0)</f>
        <v>0</v>
      </c>
      <c r="CO96" s="188">
        <f>IF(COUNT(CO25:CO30)&gt;0,SUM(CO25:CO30),0)</f>
        <v>0</v>
      </c>
      <c r="CP96" s="146"/>
      <c r="CQ96" s="90" t="str">
        <f>CQ24</f>
        <v>#2: LCA: Packaging</v>
      </c>
      <c r="CR96" s="90"/>
      <c r="CS96" s="90"/>
      <c r="CT96" s="90"/>
      <c r="CU96" s="90"/>
      <c r="CV96" s="90"/>
      <c r="CW96" s="90"/>
      <c r="CX96" s="90"/>
      <c r="CY96" s="90"/>
      <c r="CZ96" s="188">
        <f>IF(COUNT(CZ25:CZ30)&gt;0,SUM(CZ25:CZ30),0)</f>
        <v>0</v>
      </c>
      <c r="DA96" s="188">
        <f>IF(COUNT(DA25:DA30)&gt;0,SUM(DA25:DA30),0)</f>
        <v>0</v>
      </c>
      <c r="DB96" s="188">
        <f>IF(COUNT(DB25:DB30)&gt;0,SUM(DB25:DB30),0)</f>
        <v>0</v>
      </c>
      <c r="DC96" s="188">
        <f>IF(COUNT(DC25:DC30)&gt;0,SUM(DC25:DC30),0)</f>
        <v>0</v>
      </c>
      <c r="DD96" s="146"/>
      <c r="DE96" s="90" t="str">
        <f>DE24</f>
        <v>#2: LCA: Packaging</v>
      </c>
      <c r="DF96" s="90"/>
      <c r="DG96" s="90"/>
      <c r="DH96" s="90"/>
      <c r="DI96" s="90"/>
      <c r="DJ96" s="90"/>
      <c r="DK96" s="90"/>
      <c r="DL96" s="90"/>
      <c r="DM96" s="90"/>
      <c r="DN96" s="188">
        <f>IF(COUNT(DN25:DN30)&gt;0,SUM(DN25:DN30),0)</f>
        <v>0</v>
      </c>
      <c r="DO96" s="188">
        <f>IF(COUNT(DO25:DO30)&gt;0,SUM(DO25:DO30),0)</f>
        <v>0</v>
      </c>
      <c r="DP96" s="188">
        <f>IF(COUNT(DP25:DP30)&gt;0,SUM(DP25:DP30),0)</f>
        <v>0</v>
      </c>
      <c r="DQ96" s="188">
        <f>IF(COUNT(DQ25:DQ30)&gt;0,SUM(DQ25:DQ30),0)</f>
        <v>0</v>
      </c>
      <c r="DR96" s="146"/>
      <c r="DS96" s="90" t="str">
        <f>DS24</f>
        <v>#2: LCA: Packaging</v>
      </c>
      <c r="DT96" s="90"/>
      <c r="DU96" s="90"/>
      <c r="DV96" s="90"/>
      <c r="DW96" s="90"/>
      <c r="DX96" s="90"/>
      <c r="DY96" s="90"/>
      <c r="DZ96" s="90"/>
      <c r="EA96" s="90"/>
      <c r="EB96" s="188">
        <f>IF(COUNT(EB25:EB30)&gt;0,SUM(EB25:EB30),0)</f>
        <v>0</v>
      </c>
      <c r="EC96" s="188">
        <f>IF(COUNT(EC25:EC30)&gt;0,SUM(EC25:EC30),0)</f>
        <v>0</v>
      </c>
      <c r="ED96" s="188">
        <f>IF(COUNT(ED25:ED30)&gt;0,SUM(ED25:ED30),0)</f>
        <v>0</v>
      </c>
      <c r="EE96" s="188">
        <f>IF(COUNT(EE25:EE30)&gt;0,SUM(EE25:EE30),0)</f>
        <v>0</v>
      </c>
      <c r="EF96" s="146"/>
      <c r="EG96" s="90" t="str">
        <f t="shared" ref="EG96:EG102" si="109">DS96</f>
        <v>#2: LCA: Packaging</v>
      </c>
      <c r="EH96" s="90"/>
      <c r="EI96" s="90"/>
      <c r="EJ96" s="90"/>
      <c r="EK96" s="90"/>
      <c r="EL96" s="90"/>
      <c r="EM96" s="90"/>
      <c r="EN96" s="90"/>
      <c r="EO96" s="90"/>
      <c r="EP96" s="188">
        <f t="shared" si="108"/>
        <v>0</v>
      </c>
      <c r="EQ96" s="188">
        <f t="shared" si="108"/>
        <v>0</v>
      </c>
      <c r="ER96" s="188">
        <f t="shared" si="108"/>
        <v>0</v>
      </c>
      <c r="ES96" s="188">
        <f t="shared" si="108"/>
        <v>0</v>
      </c>
      <c r="ET96" s="146"/>
      <c r="EU96" s="146"/>
      <c r="EV96" s="146"/>
      <c r="EW96" s="146"/>
      <c r="EX96" s="146"/>
      <c r="EY96" s="146"/>
      <c r="EZ96" s="146"/>
      <c r="FA96" s="146"/>
      <c r="FB96" s="146"/>
      <c r="FC96" s="146"/>
    </row>
    <row r="97" spans="2:159">
      <c r="B97" s="90" t="str">
        <f>B31</f>
        <v>#3: LCA: Transport</v>
      </c>
      <c r="C97" s="90"/>
      <c r="D97" s="90"/>
      <c r="E97" s="90"/>
      <c r="F97" s="90"/>
      <c r="G97" s="90"/>
      <c r="H97" s="90"/>
      <c r="I97" s="90"/>
      <c r="J97" s="90"/>
      <c r="K97" s="302">
        <f>IF(COUNT(K32:K39)&gt;0,SUM(K32:K39),0)</f>
        <v>0</v>
      </c>
      <c r="L97" s="302">
        <f>IF(COUNT(L32:L39)&gt;0,SUM(L32:L39),0)</f>
        <v>0</v>
      </c>
      <c r="M97" s="302">
        <f>IF(COUNT(M32:M39)&gt;0,SUM(M32:M39),0)</f>
        <v>0</v>
      </c>
      <c r="N97" s="302">
        <f>IF(COUNT(N32:N39)&gt;0,SUM(N32:N39),0)</f>
        <v>0</v>
      </c>
      <c r="O97" s="93"/>
      <c r="P97" s="90" t="str">
        <f>P31</f>
        <v>#3: LCA: Transport</v>
      </c>
      <c r="Q97" s="90"/>
      <c r="R97" s="90"/>
      <c r="S97" s="90"/>
      <c r="T97" s="90"/>
      <c r="U97" s="90"/>
      <c r="V97" s="90"/>
      <c r="W97" s="90"/>
      <c r="X97" s="90"/>
      <c r="Y97" s="302">
        <f>IF(COUNT(Y32:Y39)&gt;0,SUM(Y32:Y39),0)</f>
        <v>0</v>
      </c>
      <c r="Z97" s="302">
        <f>IF(COUNT(Z32:Z39)&gt;0,SUM(Z32:Z39),0)</f>
        <v>0</v>
      </c>
      <c r="AA97" s="302">
        <f>IF(COUNT(AA32:AA39)&gt;0,SUM(AA32:AA39),0)</f>
        <v>0</v>
      </c>
      <c r="AB97" s="302">
        <f>IF(COUNT(AB32:AB39)&gt;0,SUM(AB32:AB39),0)</f>
        <v>0</v>
      </c>
      <c r="AC97" s="51"/>
      <c r="AD97" s="90" t="str">
        <f>AD31</f>
        <v>#3: LCA: Transport</v>
      </c>
      <c r="AE97" s="90"/>
      <c r="AF97" s="90"/>
      <c r="AG97" s="90"/>
      <c r="AH97" s="90"/>
      <c r="AI97" s="90"/>
      <c r="AJ97" s="90"/>
      <c r="AK97" s="90"/>
      <c r="AL97" s="90"/>
      <c r="AM97" s="188">
        <f>IF(COUNT(AM32:AM39)&gt;0,SUM(AM32:AM39),0)</f>
        <v>0</v>
      </c>
      <c r="AN97" s="188">
        <f>IF(COUNT(AN32:AN39)&gt;0,SUM(AN32:AN39),0)</f>
        <v>0</v>
      </c>
      <c r="AO97" s="188">
        <f>IF(COUNT(AO32:AO39)&gt;0,SUM(AO32:AO39),0)</f>
        <v>0</v>
      </c>
      <c r="AP97" s="188">
        <f>IF(COUNT(AP32:AP39)&gt;0,SUM(AP32:AP39),0)</f>
        <v>0</v>
      </c>
      <c r="AQ97" s="146"/>
      <c r="AR97" s="90" t="str">
        <f>AR31</f>
        <v>#3: LCA: Transport</v>
      </c>
      <c r="AS97" s="90"/>
      <c r="AT97" s="90"/>
      <c r="AU97" s="90"/>
      <c r="AV97" s="90"/>
      <c r="AW97" s="90"/>
      <c r="AX97" s="90"/>
      <c r="AY97" s="90"/>
      <c r="AZ97" s="90"/>
      <c r="BA97" s="188">
        <f>IF(COUNT(BA32:BA39)&gt;0,SUM(BA32:BA39),0)</f>
        <v>0</v>
      </c>
      <c r="BB97" s="188">
        <f>IF(COUNT(BB32:BB39)&gt;0,SUM(BB32:BB39),0)</f>
        <v>0</v>
      </c>
      <c r="BC97" s="188">
        <f>IF(COUNT(BC32:BC39)&gt;0,SUM(BC32:BC39),0)</f>
        <v>0</v>
      </c>
      <c r="BD97" s="142"/>
      <c r="BE97" s="90" t="str">
        <f>BE31</f>
        <v>#3: LCA: Transport</v>
      </c>
      <c r="BF97" s="90"/>
      <c r="BG97" s="90"/>
      <c r="BH97" s="90"/>
      <c r="BI97" s="90"/>
      <c r="BJ97" s="90"/>
      <c r="BK97" s="90"/>
      <c r="BL97" s="188">
        <f>IF(COUNT(BL32:BL39)&gt;0,SUM(BL32:BL39),0)</f>
        <v>0</v>
      </c>
      <c r="BM97" s="188">
        <f>IF(COUNT(BM32:BM39)&gt;0,SUM(BM32:BM39),0)</f>
        <v>0</v>
      </c>
      <c r="BN97" s="188">
        <f>IF(COUNT(BN32:BN39)&gt;0,SUM(BN32:BN39),0)</f>
        <v>0</v>
      </c>
      <c r="BO97" s="274"/>
      <c r="BP97" s="90" t="str">
        <f>BP31</f>
        <v>#3: LCA: Transport</v>
      </c>
      <c r="BQ97" s="90"/>
      <c r="BR97" s="90"/>
      <c r="BS97" s="90"/>
      <c r="BT97" s="90"/>
      <c r="BU97" s="90"/>
      <c r="BV97" s="90"/>
      <c r="BW97" s="90"/>
      <c r="BX97" s="90"/>
      <c r="BY97" s="188">
        <f>IF(COUNT(BY32:BY39)&gt;0,SUM(BY32:BY39),0)</f>
        <v>0</v>
      </c>
      <c r="BZ97" s="188">
        <f>IF(COUNT(BZ32:BZ39)&gt;0,SUM(BZ32:BZ39),0)</f>
        <v>0</v>
      </c>
      <c r="CA97" s="188">
        <f>IF(COUNT(CA32:CA39)&gt;0,SUM(CA32:CA39),0)</f>
        <v>0</v>
      </c>
      <c r="CB97" s="142"/>
      <c r="CC97" s="90" t="str">
        <f>CC31</f>
        <v>#3: LCA: Transport</v>
      </c>
      <c r="CD97" s="90"/>
      <c r="CE97" s="90"/>
      <c r="CF97" s="90"/>
      <c r="CG97" s="90"/>
      <c r="CH97" s="90"/>
      <c r="CI97" s="90"/>
      <c r="CJ97" s="90"/>
      <c r="CK97" s="90"/>
      <c r="CL97" s="188">
        <f>IF(COUNT(CL32:CL39)&gt;0,SUM(CL32:CL39),0)</f>
        <v>0</v>
      </c>
      <c r="CM97" s="188">
        <f>IF(COUNT(CM32:CM39)&gt;0,SUM(CM32:CM39),0)</f>
        <v>0</v>
      </c>
      <c r="CN97" s="188">
        <f>IF(COUNT(CN32:CN39)&gt;0,SUM(CN32:CN39),0)</f>
        <v>0</v>
      </c>
      <c r="CO97" s="188">
        <f>IF(COUNT(CO32:CO39)&gt;0,SUM(CO32:CO39),0)</f>
        <v>0</v>
      </c>
      <c r="CP97" s="146"/>
      <c r="CQ97" s="90" t="str">
        <f>CQ31</f>
        <v>#3: LCA: Transport</v>
      </c>
      <c r="CR97" s="90"/>
      <c r="CS97" s="90"/>
      <c r="CT97" s="90"/>
      <c r="CU97" s="90"/>
      <c r="CV97" s="90"/>
      <c r="CW97" s="90"/>
      <c r="CX97" s="90"/>
      <c r="CY97" s="90"/>
      <c r="CZ97" s="188">
        <f>IF(COUNT(CZ32:CZ39)&gt;0,SUM(CZ32:CZ39),0)</f>
        <v>0</v>
      </c>
      <c r="DA97" s="188">
        <f>IF(COUNT(DA32:DA39)&gt;0,SUM(DA32:DA39),0)</f>
        <v>0</v>
      </c>
      <c r="DB97" s="188">
        <f>IF(COUNT(DB32:DB39)&gt;0,SUM(DB32:DB39),0)</f>
        <v>0</v>
      </c>
      <c r="DC97" s="188">
        <f>IF(COUNT(DC32:DC39)&gt;0,SUM(DC32:DC39),0)</f>
        <v>0</v>
      </c>
      <c r="DD97" s="146"/>
      <c r="DE97" s="90" t="str">
        <f>DE31</f>
        <v>#3: LCA: Transport</v>
      </c>
      <c r="DF97" s="90"/>
      <c r="DG97" s="90"/>
      <c r="DH97" s="90"/>
      <c r="DI97" s="90"/>
      <c r="DJ97" s="90"/>
      <c r="DK97" s="90"/>
      <c r="DL97" s="90"/>
      <c r="DM97" s="90"/>
      <c r="DN97" s="188">
        <f>IF(COUNT(DN32:DN39)&gt;0,SUM(DN32:DN39),0)</f>
        <v>0</v>
      </c>
      <c r="DO97" s="188">
        <f>IF(COUNT(DO32:DO39)&gt;0,SUM(DO32:DO39),0)</f>
        <v>0</v>
      </c>
      <c r="DP97" s="188">
        <f>IF(COUNT(DP32:DP39)&gt;0,SUM(DP32:DP39),0)</f>
        <v>0</v>
      </c>
      <c r="DQ97" s="188">
        <f>IF(COUNT(DQ32:DQ39)&gt;0,SUM(DQ32:DQ39),0)</f>
        <v>0</v>
      </c>
      <c r="DR97" s="146"/>
      <c r="DS97" s="90" t="str">
        <f>DS31</f>
        <v>#3: LCA: Transport</v>
      </c>
      <c r="DT97" s="90"/>
      <c r="DU97" s="90"/>
      <c r="DV97" s="90"/>
      <c r="DW97" s="90"/>
      <c r="DX97" s="90"/>
      <c r="DY97" s="90"/>
      <c r="DZ97" s="90"/>
      <c r="EA97" s="90"/>
      <c r="EB97" s="188">
        <f>IF(COUNT(EB32:EB39)&gt;0,SUM(EB32:EB39),0)</f>
        <v>0</v>
      </c>
      <c r="EC97" s="188">
        <f>IF(COUNT(EC32:EC39)&gt;0,SUM(EC32:EC39),0)</f>
        <v>0</v>
      </c>
      <c r="ED97" s="188">
        <f>IF(COUNT(ED32:ED39)&gt;0,SUM(ED32:ED39),0)</f>
        <v>0</v>
      </c>
      <c r="EE97" s="188">
        <f>IF(COUNT(EE32:EE39)&gt;0,SUM(EE32:EE39),0)</f>
        <v>0</v>
      </c>
      <c r="EF97" s="146"/>
      <c r="EG97" s="90" t="str">
        <f t="shared" si="109"/>
        <v>#3: LCA: Transport</v>
      </c>
      <c r="EH97" s="90"/>
      <c r="EI97" s="90"/>
      <c r="EJ97" s="90"/>
      <c r="EK97" s="90"/>
      <c r="EL97" s="90"/>
      <c r="EM97" s="90"/>
      <c r="EN97" s="90"/>
      <c r="EO97" s="90"/>
      <c r="EP97" s="188">
        <f t="shared" si="108"/>
        <v>0</v>
      </c>
      <c r="EQ97" s="188">
        <f t="shared" si="108"/>
        <v>0</v>
      </c>
      <c r="ER97" s="188">
        <f t="shared" si="108"/>
        <v>0</v>
      </c>
      <c r="ES97" s="188">
        <f t="shared" si="108"/>
        <v>0</v>
      </c>
      <c r="ET97" s="146"/>
      <c r="EU97" s="146"/>
      <c r="EV97" s="146"/>
      <c r="EW97" s="146"/>
      <c r="EX97" s="146"/>
      <c r="EY97" s="146"/>
      <c r="EZ97" s="146"/>
      <c r="FA97" s="146"/>
      <c r="FB97" s="146"/>
      <c r="FC97" s="146"/>
    </row>
    <row r="98" spans="2:159">
      <c r="B98" s="90" t="str">
        <f>B40</f>
        <v>#4: LCA: Water use</v>
      </c>
      <c r="C98" s="90"/>
      <c r="D98" s="90"/>
      <c r="E98" s="90"/>
      <c r="F98" s="90"/>
      <c r="G98" s="90"/>
      <c r="H98" s="90"/>
      <c r="I98" s="90"/>
      <c r="J98" s="90"/>
      <c r="K98" s="302">
        <f>IF(COUNT(K43)&gt;0,SUM(K43),0)</f>
        <v>0</v>
      </c>
      <c r="L98" s="302">
        <f>IF(COUNT(L43)&gt;0,SUM(L43),0)</f>
        <v>0</v>
      </c>
      <c r="M98" s="302">
        <f>IF(COUNT(M43)&gt;0,SUM(M43),0)</f>
        <v>0</v>
      </c>
      <c r="N98" s="302">
        <f>IF(COUNT(N43)&gt;0,SUM(N43),0)</f>
        <v>0</v>
      </c>
      <c r="O98" s="93"/>
      <c r="P98" s="90" t="str">
        <f>P40</f>
        <v>#4: LCA: Water use</v>
      </c>
      <c r="Q98" s="90"/>
      <c r="R98" s="90"/>
      <c r="S98" s="90"/>
      <c r="T98" s="90"/>
      <c r="U98" s="90"/>
      <c r="V98" s="90"/>
      <c r="W98" s="90"/>
      <c r="X98" s="90"/>
      <c r="Y98" s="302">
        <f>IF(COUNT(Y43)&gt;0,SUM(Y43),0)</f>
        <v>0</v>
      </c>
      <c r="Z98" s="302">
        <f>IF(COUNT(Z43)&gt;0,SUM(Z43),0)</f>
        <v>0</v>
      </c>
      <c r="AA98" s="302">
        <f>IF(COUNT(AA43)&gt;0,SUM(AA43),0)</f>
        <v>0</v>
      </c>
      <c r="AB98" s="302">
        <f>IF(COUNT(AB43)&gt;0,SUM(AB43),0)</f>
        <v>0</v>
      </c>
      <c r="AC98" s="51"/>
      <c r="AD98" s="90" t="str">
        <f>AD40</f>
        <v>#4: LCA: Water use</v>
      </c>
      <c r="AE98" s="90"/>
      <c r="AF98" s="90"/>
      <c r="AG98" s="90"/>
      <c r="AH98" s="90"/>
      <c r="AI98" s="90"/>
      <c r="AJ98" s="90"/>
      <c r="AK98" s="90"/>
      <c r="AL98" s="90"/>
      <c r="AM98" s="302">
        <f>IF(COUNT(AM43)&gt;0,SUM(AM43),0)</f>
        <v>0</v>
      </c>
      <c r="AN98" s="302">
        <f>IF(COUNT(AN43)&gt;0,SUM(AN43),0)</f>
        <v>0</v>
      </c>
      <c r="AO98" s="302">
        <f>IF(COUNT(AO43)&gt;0,SUM(AO43),0)</f>
        <v>0</v>
      </c>
      <c r="AP98" s="302">
        <f>IF(COUNT(AP43)&gt;0,SUM(AP43),0)</f>
        <v>0</v>
      </c>
      <c r="AQ98" s="146"/>
      <c r="AR98" s="90" t="str">
        <f>AR40</f>
        <v>#4: LCA: Water use</v>
      </c>
      <c r="AS98" s="90"/>
      <c r="AT98" s="90"/>
      <c r="AU98" s="90"/>
      <c r="AV98" s="90"/>
      <c r="AW98" s="90"/>
      <c r="AX98" s="90"/>
      <c r="AY98" s="90"/>
      <c r="AZ98" s="90"/>
      <c r="BA98" s="302">
        <f>IF(COUNT(BA43)&gt;0,SUM(BA43),0)</f>
        <v>0</v>
      </c>
      <c r="BB98" s="302">
        <f>IF(COUNT(BB43)&gt;0,SUM(BB43),0)</f>
        <v>0</v>
      </c>
      <c r="BC98" s="302">
        <f>IF(COUNT(BC43)&gt;0,SUM(BC43),0)</f>
        <v>0</v>
      </c>
      <c r="BD98" s="302"/>
      <c r="BE98" s="90" t="str">
        <f>BE40</f>
        <v>#4: LCA: Water use</v>
      </c>
      <c r="BF98" s="90"/>
      <c r="BG98" s="90"/>
      <c r="BH98" s="90"/>
      <c r="BI98" s="90"/>
      <c r="BJ98" s="90"/>
      <c r="BK98" s="90"/>
      <c r="BL98" s="302">
        <f>IF(COUNT(BL43)&gt;0,SUM(BL43),0)</f>
        <v>0</v>
      </c>
      <c r="BM98" s="302">
        <f>IF(COUNT(BM43)&gt;0,SUM(BM43),0)</f>
        <v>0</v>
      </c>
      <c r="BN98" s="302">
        <f>IF(COUNT(BN43)&gt;0,SUM(BN43),0)</f>
        <v>0</v>
      </c>
      <c r="BO98" s="302"/>
      <c r="BP98" s="90" t="str">
        <f>BP40</f>
        <v>#4: LCA: Water use</v>
      </c>
      <c r="BQ98" s="90"/>
      <c r="BR98" s="90"/>
      <c r="BS98" s="90"/>
      <c r="BT98" s="90"/>
      <c r="BU98" s="90"/>
      <c r="BV98" s="90"/>
      <c r="BW98" s="90"/>
      <c r="BX98" s="90"/>
      <c r="BY98" s="302">
        <f>IF(COUNT(BY43)&gt;0,SUM(BY43),0)</f>
        <v>0</v>
      </c>
      <c r="BZ98" s="302">
        <f>IF(COUNT(BZ43)&gt;0,SUM(BZ43),0)</f>
        <v>0</v>
      </c>
      <c r="CA98" s="302">
        <f>IF(COUNT(CA43)&gt;0,SUM(CA43),0)</f>
        <v>0</v>
      </c>
      <c r="CB98" s="142"/>
      <c r="CC98" s="90" t="str">
        <f>CC40</f>
        <v>#4: LCA: Water use</v>
      </c>
      <c r="CD98" s="90"/>
      <c r="CE98" s="90"/>
      <c r="CF98" s="90"/>
      <c r="CG98" s="90"/>
      <c r="CH98" s="90"/>
      <c r="CI98" s="90"/>
      <c r="CJ98" s="90"/>
      <c r="CK98" s="90"/>
      <c r="CL98" s="302">
        <f>IF(COUNT(CL43)&gt;0,SUM(CL43),0)</f>
        <v>0</v>
      </c>
      <c r="CM98" s="302">
        <f>IF(COUNT(CM43)&gt;0,SUM(CM43),0)</f>
        <v>0</v>
      </c>
      <c r="CN98" s="302">
        <f>IF(COUNT(CN43)&gt;0,SUM(CN43),0)</f>
        <v>0</v>
      </c>
      <c r="CO98" s="302">
        <f>IF(COUNT(CO43)&gt;0,SUM(CO43),0)</f>
        <v>0</v>
      </c>
      <c r="CP98" s="146"/>
      <c r="CQ98" s="90" t="str">
        <f>CQ40</f>
        <v>#4: LCA: Water use</v>
      </c>
      <c r="CR98" s="90"/>
      <c r="CS98" s="90"/>
      <c r="CT98" s="90"/>
      <c r="CU98" s="90"/>
      <c r="CV98" s="90"/>
      <c r="CW98" s="90"/>
      <c r="CX98" s="90"/>
      <c r="CY98" s="90"/>
      <c r="CZ98" s="302">
        <f>IF(COUNT(CZ43)&gt;0,SUM(CZ43),0)</f>
        <v>0</v>
      </c>
      <c r="DA98" s="302">
        <f>IF(COUNT(DA43)&gt;0,SUM(DA43),0)</f>
        <v>0</v>
      </c>
      <c r="DB98" s="302">
        <f>IF(COUNT(DB43)&gt;0,SUM(DB43),0)</f>
        <v>0</v>
      </c>
      <c r="DC98" s="302">
        <f>IF(COUNT(DC43)&gt;0,SUM(DC43),0)</f>
        <v>0</v>
      </c>
      <c r="DD98" s="146"/>
      <c r="DE98" s="90" t="str">
        <f>DE40</f>
        <v>#4: LCA: Water use</v>
      </c>
      <c r="DF98" s="90"/>
      <c r="DG98" s="90"/>
      <c r="DH98" s="90"/>
      <c r="DI98" s="90"/>
      <c r="DJ98" s="90"/>
      <c r="DK98" s="90"/>
      <c r="DL98" s="90"/>
      <c r="DM98" s="90"/>
      <c r="DN98" s="302">
        <f>IF(COUNT(DN43)&gt;0,SUM(DN43),0)</f>
        <v>0</v>
      </c>
      <c r="DO98" s="302">
        <f>IF(COUNT(DO43)&gt;0,SUM(DO43),0)</f>
        <v>0</v>
      </c>
      <c r="DP98" s="302">
        <f>IF(COUNT(DP43)&gt;0,SUM(DP43),0)</f>
        <v>0</v>
      </c>
      <c r="DQ98" s="302">
        <f>IF(COUNT(DQ43)&gt;0,SUM(DQ43),0)</f>
        <v>0</v>
      </c>
      <c r="DR98" s="146"/>
      <c r="DS98" s="90" t="str">
        <f>DS40</f>
        <v>#4: LCA: Water use</v>
      </c>
      <c r="DT98" s="90"/>
      <c r="DU98" s="90"/>
      <c r="DV98" s="90"/>
      <c r="DW98" s="90"/>
      <c r="DX98" s="90"/>
      <c r="DY98" s="90"/>
      <c r="DZ98" s="90"/>
      <c r="EA98" s="90"/>
      <c r="EB98" s="302">
        <f>IF(COUNT(EB43)&gt;0,SUM(EB43),0)</f>
        <v>0</v>
      </c>
      <c r="EC98" s="302">
        <f>IF(COUNT(EC43)&gt;0,SUM(EC43),0)</f>
        <v>0</v>
      </c>
      <c r="ED98" s="302">
        <f>IF(COUNT(ED43)&gt;0,SUM(ED43),0)</f>
        <v>0</v>
      </c>
      <c r="EE98" s="302">
        <f>IF(COUNT(EE43)&gt;0,SUM(EE43),0)</f>
        <v>0</v>
      </c>
      <c r="EF98" s="146"/>
      <c r="EG98" s="90" t="str">
        <f t="shared" si="109"/>
        <v>#4: LCA: Water use</v>
      </c>
      <c r="EH98" s="90"/>
      <c r="EI98" s="90"/>
      <c r="EJ98" s="90"/>
      <c r="EK98" s="90"/>
      <c r="EL98" s="90"/>
      <c r="EM98" s="90"/>
      <c r="EN98" s="90"/>
      <c r="EO98" s="90"/>
      <c r="EP98" s="188">
        <f t="shared" si="108"/>
        <v>0</v>
      </c>
      <c r="EQ98" s="188">
        <f t="shared" si="108"/>
        <v>0</v>
      </c>
      <c r="ER98" s="188">
        <f t="shared" si="108"/>
        <v>0</v>
      </c>
      <c r="ES98" s="188">
        <f t="shared" si="108"/>
        <v>0</v>
      </c>
      <c r="ET98" s="146"/>
      <c r="EU98" s="146"/>
      <c r="EV98" s="146"/>
      <c r="EW98" s="146"/>
      <c r="EX98" s="146"/>
      <c r="EY98" s="146"/>
      <c r="EZ98" s="146"/>
      <c r="FA98" s="146"/>
      <c r="FB98" s="146"/>
      <c r="FC98" s="146"/>
    </row>
    <row r="99" spans="2:159">
      <c r="B99" s="90" t="str">
        <f>B45</f>
        <v>#5: LCA: Energy use</v>
      </c>
      <c r="C99" s="90"/>
      <c r="D99" s="90"/>
      <c r="E99" s="90"/>
      <c r="F99" s="90"/>
      <c r="G99" s="90"/>
      <c r="H99" s="90"/>
      <c r="I99" s="90"/>
      <c r="J99" s="90"/>
      <c r="K99" s="302">
        <f>IF(COUNT(K48:K50)&gt;0,SUM(K48:K50),0)</f>
        <v>0</v>
      </c>
      <c r="L99" s="302">
        <f>IF(COUNT(L48:L50)&gt;0,SUM(L48:L50),0)</f>
        <v>0</v>
      </c>
      <c r="M99" s="302">
        <f>IF(COUNT(M48:M50)&gt;0,SUM(M48:M50),0)</f>
        <v>0</v>
      </c>
      <c r="N99" s="302">
        <f>IF(COUNT(N48:N50)&gt;0,SUM(N48:N50),0)</f>
        <v>0</v>
      </c>
      <c r="O99" s="93"/>
      <c r="P99" s="90" t="str">
        <f>B99</f>
        <v>#5: LCA: Energy use</v>
      </c>
      <c r="Q99" s="90"/>
      <c r="R99" s="90"/>
      <c r="S99" s="90"/>
      <c r="T99" s="90"/>
      <c r="U99" s="90"/>
      <c r="V99" s="90"/>
      <c r="W99" s="90"/>
      <c r="X99" s="90"/>
      <c r="Y99" s="302">
        <f>IF(COUNT(Y48:Y50)&gt;0,SUM(Y48:Y50),0)</f>
        <v>0</v>
      </c>
      <c r="Z99" s="302">
        <f>IF(COUNT(Z48:Z50)&gt;0,SUM(Z48:Z50),0)</f>
        <v>0</v>
      </c>
      <c r="AA99" s="302">
        <f>IF(COUNT(AA48:AA50)&gt;0,SUM(AA48:AA50),0)</f>
        <v>0</v>
      </c>
      <c r="AB99" s="302">
        <f>IF(COUNT(AB48:AB50)&gt;0,SUM(AB48:AB50),0)</f>
        <v>0</v>
      </c>
      <c r="AC99" s="51"/>
      <c r="AD99" s="90" t="str">
        <f>P99</f>
        <v>#5: LCA: Energy use</v>
      </c>
      <c r="AE99" s="90"/>
      <c r="AF99" s="90"/>
      <c r="AG99" s="90"/>
      <c r="AH99" s="90"/>
      <c r="AI99" s="90"/>
      <c r="AJ99" s="90"/>
      <c r="AK99" s="90"/>
      <c r="AL99" s="90"/>
      <c r="AM99" s="302">
        <f>IF(COUNT(AM48:AM50)&gt;0,SUM(AM48:AM50),0)</f>
        <v>0</v>
      </c>
      <c r="AN99" s="302">
        <f>IF(COUNT(AN48:AN50)&gt;0,SUM(AN48:AN50),0)</f>
        <v>0</v>
      </c>
      <c r="AO99" s="302">
        <f>IF(COUNT(AO48:AO50)&gt;0,SUM(AO48:AO50),0)</f>
        <v>0</v>
      </c>
      <c r="AP99" s="302">
        <f>IF(COUNT(AP48:AP50)&gt;0,SUM(AP48:AP50),0)</f>
        <v>0</v>
      </c>
      <c r="AQ99" s="146"/>
      <c r="AR99" s="90" t="str">
        <f>AD99</f>
        <v>#5: LCA: Energy use</v>
      </c>
      <c r="AS99" s="90"/>
      <c r="AT99" s="90"/>
      <c r="AU99" s="90"/>
      <c r="AV99" s="90"/>
      <c r="AW99" s="90"/>
      <c r="AX99" s="90"/>
      <c r="AY99" s="90"/>
      <c r="AZ99" s="90"/>
      <c r="BA99" s="302">
        <f>IF(COUNT(BA48:BA50)&gt;0,SUM(BA48:BA50),0)</f>
        <v>0</v>
      </c>
      <c r="BB99" s="302">
        <f>IF(COUNT(BB48:BB50)&gt;0,SUM(BB48:BB50),0)</f>
        <v>0</v>
      </c>
      <c r="BC99" s="302">
        <f>IF(COUNT(BC48:BC50)&gt;0,SUM(BC48:BC50),0)</f>
        <v>0</v>
      </c>
      <c r="BD99" s="302"/>
      <c r="BE99" s="90" t="str">
        <f>B99</f>
        <v>#5: LCA: Energy use</v>
      </c>
      <c r="BF99" s="90"/>
      <c r="BG99" s="90"/>
      <c r="BH99" s="90"/>
      <c r="BI99" s="90"/>
      <c r="BJ99" s="90"/>
      <c r="BK99" s="90"/>
      <c r="BL99" s="302">
        <f>IF(COUNT(BL48:BL50)&gt;0,SUM(BL48:BL50),0)</f>
        <v>0</v>
      </c>
      <c r="BM99" s="302">
        <f>IF(COUNT(BM48:BM50)&gt;0,SUM(BM48:BM50),0)</f>
        <v>0</v>
      </c>
      <c r="BN99" s="302">
        <f>IF(COUNT(BN48:BN50)&gt;0,SUM(BN48:BN50),0)</f>
        <v>0</v>
      </c>
      <c r="BO99" s="302"/>
      <c r="BP99" s="90" t="str">
        <f>B99</f>
        <v>#5: LCA: Energy use</v>
      </c>
      <c r="BQ99" s="90"/>
      <c r="BR99" s="90"/>
      <c r="BS99" s="90"/>
      <c r="BT99" s="90"/>
      <c r="BU99" s="90"/>
      <c r="BV99" s="90"/>
      <c r="BW99" s="90"/>
      <c r="BX99" s="90"/>
      <c r="BY99" s="302">
        <f>IF(COUNT(BY48:BY50)&gt;0,SUM(BY48:BY50),0)</f>
        <v>0</v>
      </c>
      <c r="BZ99" s="302">
        <f>IF(COUNT(BZ48:BZ50)&gt;0,SUM(BZ48:BZ50),0)</f>
        <v>0</v>
      </c>
      <c r="CA99" s="302">
        <f>IF(COUNT(CA48:CA50)&gt;0,SUM(CA48:CA50),0)</f>
        <v>0</v>
      </c>
      <c r="CB99" s="142"/>
      <c r="CC99" s="90" t="str">
        <f>B99</f>
        <v>#5: LCA: Energy use</v>
      </c>
      <c r="CD99" s="90"/>
      <c r="CE99" s="90"/>
      <c r="CF99" s="90"/>
      <c r="CG99" s="90"/>
      <c r="CH99" s="90"/>
      <c r="CI99" s="90"/>
      <c r="CJ99" s="90"/>
      <c r="CK99" s="90"/>
      <c r="CL99" s="302">
        <f>IF(COUNT(CL48:CL50)&gt;0,SUM(CL48:CL50),0)</f>
        <v>0</v>
      </c>
      <c r="CM99" s="302">
        <f>IF(COUNT(CM48:CM50)&gt;0,SUM(CM48:CM50),0)</f>
        <v>0</v>
      </c>
      <c r="CN99" s="302">
        <f>IF(COUNT(CN48:CN50)&gt;0,SUM(CN48:CN50),0)</f>
        <v>0</v>
      </c>
      <c r="CO99" s="302">
        <f>IF(COUNT(CO48:CO50)&gt;0,SUM(CO48:CO50),0)</f>
        <v>0</v>
      </c>
      <c r="CP99" s="146"/>
      <c r="CQ99" s="90" t="str">
        <f>B99</f>
        <v>#5: LCA: Energy use</v>
      </c>
      <c r="CR99" s="90"/>
      <c r="CS99" s="90"/>
      <c r="CT99" s="90"/>
      <c r="CU99" s="90"/>
      <c r="CV99" s="90"/>
      <c r="CW99" s="90"/>
      <c r="CX99" s="90"/>
      <c r="CY99" s="90"/>
      <c r="CZ99" s="302">
        <f>IF(COUNT(CZ48:CZ50)&gt;0,SUM(CZ48:CZ50),0)</f>
        <v>0</v>
      </c>
      <c r="DA99" s="302">
        <f>IF(COUNT(DA48:DA50)&gt;0,SUM(DA48:DA50),0)</f>
        <v>0</v>
      </c>
      <c r="DB99" s="302">
        <f>IF(COUNT(DB48:DB50)&gt;0,SUM(DB48:DB50),0)</f>
        <v>0</v>
      </c>
      <c r="DC99" s="302">
        <f>IF(COUNT(DC48:DC50)&gt;0,SUM(DC48:DC50),0)</f>
        <v>0</v>
      </c>
      <c r="DD99" s="146"/>
      <c r="DE99" s="90" t="str">
        <f>B99</f>
        <v>#5: LCA: Energy use</v>
      </c>
      <c r="DF99" s="90"/>
      <c r="DG99" s="90"/>
      <c r="DH99" s="90"/>
      <c r="DI99" s="90"/>
      <c r="DJ99" s="90"/>
      <c r="DK99" s="90"/>
      <c r="DL99" s="90"/>
      <c r="DM99" s="90"/>
      <c r="DN99" s="302">
        <f>IF(COUNT(DN48:DN50)&gt;0,SUM(DN48:DN50),0)</f>
        <v>0</v>
      </c>
      <c r="DO99" s="302">
        <f>IF(COUNT(DO48:DO50)&gt;0,SUM(DO48:DO50),0)</f>
        <v>0</v>
      </c>
      <c r="DP99" s="302">
        <f>IF(COUNT(DP48:DP50)&gt;0,SUM(DP48:DP50),0)</f>
        <v>0</v>
      </c>
      <c r="DQ99" s="302">
        <f>IF(COUNT(DQ48:DQ50)&gt;0,SUM(DQ48:DQ50),0)</f>
        <v>0</v>
      </c>
      <c r="DR99" s="146"/>
      <c r="DS99" s="90" t="str">
        <f>B99</f>
        <v>#5: LCA: Energy use</v>
      </c>
      <c r="DT99" s="90"/>
      <c r="DU99" s="90"/>
      <c r="DV99" s="90"/>
      <c r="DW99" s="90"/>
      <c r="DX99" s="90"/>
      <c r="DY99" s="90"/>
      <c r="DZ99" s="90"/>
      <c r="EA99" s="90"/>
      <c r="EB99" s="302">
        <f>IF(COUNT(EB48:EB50)&gt;0,SUM(EB48:EB50),0)</f>
        <v>0</v>
      </c>
      <c r="EC99" s="302">
        <f>IF(COUNT(EC48:EC50)&gt;0,SUM(EC48:EC50),0)</f>
        <v>0</v>
      </c>
      <c r="ED99" s="302">
        <f>IF(COUNT(ED48:ED50)&gt;0,SUM(ED48:ED50),0)</f>
        <v>0</v>
      </c>
      <c r="EE99" s="302">
        <f>IF(COUNT(EE48:EE50)&gt;0,SUM(EE48:EE50),0)</f>
        <v>0</v>
      </c>
      <c r="EF99" s="146"/>
      <c r="EG99" s="90" t="str">
        <f>B99</f>
        <v>#5: LCA: Energy use</v>
      </c>
      <c r="EH99" s="90"/>
      <c r="EI99" s="90"/>
      <c r="EJ99" s="90"/>
      <c r="EK99" s="90"/>
      <c r="EL99" s="90"/>
      <c r="EM99" s="90"/>
      <c r="EN99" s="90"/>
      <c r="EO99" s="90"/>
      <c r="EP99" s="188">
        <f t="shared" si="108"/>
        <v>0</v>
      </c>
      <c r="EQ99" s="188">
        <f t="shared" si="108"/>
        <v>0</v>
      </c>
      <c r="ER99" s="188">
        <f t="shared" si="108"/>
        <v>0</v>
      </c>
      <c r="ES99" s="188">
        <f t="shared" si="108"/>
        <v>0</v>
      </c>
      <c r="ET99" s="146"/>
      <c r="EU99" s="146"/>
      <c r="EV99" s="146"/>
      <c r="EW99" s="146"/>
      <c r="EX99" s="146"/>
      <c r="EY99" s="146"/>
      <c r="EZ99" s="146"/>
      <c r="FA99" s="146"/>
      <c r="FB99" s="146"/>
      <c r="FC99" s="146"/>
    </row>
    <row r="100" spans="2:159">
      <c r="B100" s="90" t="str">
        <f>B52</f>
        <v>#6: LCA: Transport refrigeration (electricity and fuel only for refrigeration)</v>
      </c>
      <c r="C100" s="90"/>
      <c r="D100" s="90"/>
      <c r="E100" s="90"/>
      <c r="F100" s="90"/>
      <c r="G100" s="90"/>
      <c r="H100" s="90"/>
      <c r="I100" s="90"/>
      <c r="J100" s="90"/>
      <c r="K100" s="302">
        <f>IF(COUNT(K53:K63)&gt;0,SUM(K53:K63),0)</f>
        <v>0</v>
      </c>
      <c r="L100" s="302">
        <f>IF(COUNT(L53:L63)&gt;0,SUM(L53:L63),0)</f>
        <v>0</v>
      </c>
      <c r="M100" s="302">
        <f>IF(COUNT(M53:M63)&gt;0,SUM(M53:M63),0)</f>
        <v>0</v>
      </c>
      <c r="N100" s="302">
        <f>IF(COUNT(N53:N63)&gt;0,SUM(N53:N63),0)</f>
        <v>0</v>
      </c>
      <c r="O100" s="93"/>
      <c r="P100" s="90" t="str">
        <f>P52</f>
        <v>#6: LCA: Transport refrigeration (electricity and fuel only for refrigeration)</v>
      </c>
      <c r="Q100" s="90"/>
      <c r="R100" s="90"/>
      <c r="S100" s="90"/>
      <c r="T100" s="90"/>
      <c r="U100" s="90"/>
      <c r="V100" s="90"/>
      <c r="W100" s="90"/>
      <c r="X100" s="90"/>
      <c r="Y100" s="302">
        <f>IF(COUNT(Y53:Y63)&gt;0,SUM(Y53:Y63),0)</f>
        <v>0</v>
      </c>
      <c r="Z100" s="302">
        <f>IF(COUNT(Z53:Z63)&gt;0,SUM(Z53:Z63),0)</f>
        <v>0</v>
      </c>
      <c r="AA100" s="302">
        <f>IF(COUNT(AA53:AA63)&gt;0,SUM(AA53:AA63),0)</f>
        <v>0</v>
      </c>
      <c r="AB100" s="302">
        <f>IF(COUNT(AB53:AB63)&gt;0,SUM(AB53:AB63),0)</f>
        <v>0</v>
      </c>
      <c r="AC100" s="51"/>
      <c r="AD100" s="90" t="str">
        <f>AD52</f>
        <v>#6: LCA: Transport refrigeration (electricity and fuel only for refrigeration)</v>
      </c>
      <c r="AE100" s="90"/>
      <c r="AF100" s="90"/>
      <c r="AG100" s="90"/>
      <c r="AH100" s="90"/>
      <c r="AI100" s="90"/>
      <c r="AJ100" s="90"/>
      <c r="AK100" s="90"/>
      <c r="AL100" s="90"/>
      <c r="AM100" s="188">
        <f>IF(COUNT(AM53:AM63)&gt;0,SUM(AM53:AM63),0)</f>
        <v>0</v>
      </c>
      <c r="AN100" s="188">
        <f>IF(COUNT(AN53:AN63)&gt;0,SUM(AN53:AN63),0)</f>
        <v>0</v>
      </c>
      <c r="AO100" s="188">
        <f>IF(COUNT(AO53:AO63)&gt;0,SUM(AO53:AO63),0)</f>
        <v>0</v>
      </c>
      <c r="AP100" s="188">
        <f>IF(COUNT(AP53:AP63)&gt;0,SUM(AP53:AP63),0)</f>
        <v>0</v>
      </c>
      <c r="AQ100" s="146"/>
      <c r="AR100" s="90" t="str">
        <f>AR52</f>
        <v>#6: LCA: Transport refrigeration (electricity and fuel only for refrigeration)</v>
      </c>
      <c r="AS100" s="90"/>
      <c r="AT100" s="90"/>
      <c r="AU100" s="90"/>
      <c r="AV100" s="90"/>
      <c r="AW100" s="90"/>
      <c r="AX100" s="90"/>
      <c r="AY100" s="90"/>
      <c r="AZ100" s="90"/>
      <c r="BA100" s="188">
        <f>IF(COUNT(BA53:BA63)&gt;0,SUM(BA53:BA63),0)</f>
        <v>0</v>
      </c>
      <c r="BB100" s="188">
        <f>IF(COUNT(BB53:BB63)&gt;0,SUM(BB53:BB63),0)</f>
        <v>0</v>
      </c>
      <c r="BC100" s="188">
        <f>IF(COUNT(BC53:BC63)&gt;0,SUM(BC53:BC63),0)</f>
        <v>0</v>
      </c>
      <c r="BD100" s="142"/>
      <c r="BE100" s="90" t="str">
        <f>BE52</f>
        <v>#6: LCA: Transport refrigeration (electricity and fuel only for refrigeration)</v>
      </c>
      <c r="BF100" s="90"/>
      <c r="BG100" s="90"/>
      <c r="BH100" s="90"/>
      <c r="BI100" s="90"/>
      <c r="BJ100" s="90"/>
      <c r="BK100" s="90"/>
      <c r="BL100" s="188">
        <f>IF(COUNT(BL53:BL63)&gt;0,SUM(BL53:BL63),0)</f>
        <v>0</v>
      </c>
      <c r="BM100" s="188">
        <f>IF(COUNT(BM53:BM63)&gt;0,SUM(BM53:BM63),0)</f>
        <v>0</v>
      </c>
      <c r="BN100" s="188">
        <f>IF(COUNT(BN53:BN63)&gt;0,SUM(BN53:BN63),0)</f>
        <v>0</v>
      </c>
      <c r="BO100" s="274"/>
      <c r="BP100" s="90" t="str">
        <f>BP52</f>
        <v>#6: LCA: Transport refrigeration (electricity and fuel only for refrigeration)</v>
      </c>
      <c r="BQ100" s="90"/>
      <c r="BR100" s="90"/>
      <c r="BS100" s="90"/>
      <c r="BT100" s="90"/>
      <c r="BU100" s="90"/>
      <c r="BV100" s="90"/>
      <c r="BW100" s="90"/>
      <c r="BX100" s="90"/>
      <c r="BY100" s="188">
        <f>IF(COUNT(BY53:BY63)&gt;0,SUM(BY53:BY63),0)</f>
        <v>0</v>
      </c>
      <c r="BZ100" s="188">
        <f>IF(COUNT(BZ53:BZ63)&gt;0,SUM(BZ53:BZ63),0)</f>
        <v>0</v>
      </c>
      <c r="CA100" s="188">
        <f>IF(COUNT(CA53:CA63)&gt;0,SUM(CA53:CA63),0)</f>
        <v>0</v>
      </c>
      <c r="CB100" s="142"/>
      <c r="CC100" s="90" t="str">
        <f>CC52</f>
        <v>#6: LCA: Transport refrigeration (electricity and fuel only for refrigeration)</v>
      </c>
      <c r="CD100" s="90"/>
      <c r="CE100" s="90"/>
      <c r="CF100" s="90"/>
      <c r="CG100" s="90"/>
      <c r="CH100" s="90"/>
      <c r="CI100" s="90"/>
      <c r="CJ100" s="90"/>
      <c r="CK100" s="90"/>
      <c r="CL100" s="188">
        <f>IF(COUNT(CL53:CL63)&gt;0,SUM(CL53:CL63),0)</f>
        <v>0</v>
      </c>
      <c r="CM100" s="188">
        <f>IF(COUNT(CM53:CM63)&gt;0,SUM(CM53:CM63),0)</f>
        <v>0</v>
      </c>
      <c r="CN100" s="188">
        <f>IF(COUNT(CN53:CN63)&gt;0,SUM(CN53:CN63),0)</f>
        <v>0</v>
      </c>
      <c r="CO100" s="188">
        <f>IF(COUNT(CO53:CO63)&gt;0,SUM(CO53:CO63),0)</f>
        <v>0</v>
      </c>
      <c r="CP100" s="146"/>
      <c r="CQ100" s="90" t="str">
        <f>CQ52</f>
        <v>#6: LCA: Transport refrigeration (electricity and fuel only for refrigeration)</v>
      </c>
      <c r="CR100" s="90"/>
      <c r="CS100" s="90"/>
      <c r="CT100" s="90"/>
      <c r="CU100" s="90"/>
      <c r="CV100" s="90"/>
      <c r="CW100" s="90"/>
      <c r="CX100" s="90"/>
      <c r="CY100" s="90"/>
      <c r="CZ100" s="188">
        <f>IF(COUNT(CZ53:CZ63)&gt;0,SUM(CZ53:CZ63),0)</f>
        <v>0</v>
      </c>
      <c r="DA100" s="188">
        <f>IF(COUNT(DA53:DA63)&gt;0,SUM(DA53:DA63),0)</f>
        <v>0</v>
      </c>
      <c r="DB100" s="188">
        <f>IF(COUNT(DB53:DB63)&gt;0,SUM(DB53:DB63),0)</f>
        <v>0</v>
      </c>
      <c r="DC100" s="188">
        <f>IF(COUNT(DC53:DC63)&gt;0,SUM(DC53:DC63),0)</f>
        <v>0</v>
      </c>
      <c r="DD100" s="146"/>
      <c r="DE100" s="90" t="str">
        <f>DE52</f>
        <v>#6: LCA: Transport refrigeration (electricity and fuel only for refrigeration)</v>
      </c>
      <c r="DF100" s="90"/>
      <c r="DG100" s="90"/>
      <c r="DH100" s="90"/>
      <c r="DI100" s="90"/>
      <c r="DJ100" s="90"/>
      <c r="DK100" s="90"/>
      <c r="DL100" s="90"/>
      <c r="DM100" s="90"/>
      <c r="DN100" s="188">
        <f>IF(COUNT(DN53:DN63)&gt;0,SUM(DN53:DN63),0)</f>
        <v>0</v>
      </c>
      <c r="DO100" s="188">
        <f>IF(COUNT(DO53:DO63)&gt;0,SUM(DO53:DO63),0)</f>
        <v>0</v>
      </c>
      <c r="DP100" s="188">
        <f>IF(COUNT(DP53:DP63)&gt;0,SUM(DP53:DP63),0)</f>
        <v>0</v>
      </c>
      <c r="DQ100" s="188">
        <f>IF(COUNT(DQ53:DQ63)&gt;0,SUM(DQ53:DQ63),0)</f>
        <v>0</v>
      </c>
      <c r="DR100" s="146"/>
      <c r="DS100" s="90" t="str">
        <f>DS52</f>
        <v>#6: LCA: Transport refrigeration (electricity and fuel only for refrigeration)</v>
      </c>
      <c r="DT100" s="90"/>
      <c r="DU100" s="90"/>
      <c r="DV100" s="90"/>
      <c r="DW100" s="90"/>
      <c r="DX100" s="90"/>
      <c r="DY100" s="90"/>
      <c r="DZ100" s="90"/>
      <c r="EA100" s="90"/>
      <c r="EB100" s="188">
        <f>IF(COUNT(EB53:EB63)&gt;0,SUM(EB53:EB63),0)</f>
        <v>0</v>
      </c>
      <c r="EC100" s="188">
        <f>IF(COUNT(EC53:EC63)&gt;0,SUM(EC53:EC63),0)</f>
        <v>0</v>
      </c>
      <c r="ED100" s="188">
        <f>IF(COUNT(ED53:ED63)&gt;0,SUM(ED53:ED63),0)</f>
        <v>0</v>
      </c>
      <c r="EE100" s="188">
        <f>IF(COUNT(EE53:EE63)&gt;0,SUM(EE53:EE63),0)</f>
        <v>0</v>
      </c>
      <c r="EF100" s="146"/>
      <c r="EG100" s="90" t="str">
        <f t="shared" si="109"/>
        <v>#6: LCA: Transport refrigeration (electricity and fuel only for refrigeration)</v>
      </c>
      <c r="EH100" s="90"/>
      <c r="EI100" s="90"/>
      <c r="EJ100" s="90"/>
      <c r="EK100" s="90"/>
      <c r="EL100" s="90"/>
      <c r="EM100" s="90"/>
      <c r="EN100" s="90"/>
      <c r="EO100" s="90"/>
      <c r="EP100" s="188">
        <f t="shared" si="108"/>
        <v>0</v>
      </c>
      <c r="EQ100" s="188">
        <f t="shared" si="108"/>
        <v>0</v>
      </c>
      <c r="ER100" s="188">
        <f t="shared" si="108"/>
        <v>0</v>
      </c>
      <c r="ES100" s="188">
        <f t="shared" si="108"/>
        <v>0</v>
      </c>
      <c r="ET100" s="146"/>
      <c r="EU100" s="146"/>
      <c r="EV100" s="146"/>
      <c r="EW100" s="146"/>
      <c r="EX100" s="146"/>
      <c r="EY100" s="146"/>
      <c r="EZ100" s="146"/>
      <c r="FA100" s="146"/>
      <c r="FB100" s="146"/>
      <c r="FC100" s="146"/>
    </row>
    <row r="101" spans="2:159">
      <c r="B101" s="90" t="str">
        <f>B64</f>
        <v>#7: LCA: Refrigerant slippage</v>
      </c>
      <c r="C101" s="90"/>
      <c r="D101" s="90"/>
      <c r="E101" s="90"/>
      <c r="F101" s="90"/>
      <c r="G101" s="90"/>
      <c r="H101" s="90"/>
      <c r="I101" s="90"/>
      <c r="J101" s="90"/>
      <c r="K101" s="302">
        <f>IF(COUNT(K65:K73)&gt;0,SUM(K65:K73),0)</f>
        <v>0</v>
      </c>
      <c r="L101" s="302">
        <f>IF(COUNT(L65:L73)&gt;0,SUM(L65:L73),0)</f>
        <v>0</v>
      </c>
      <c r="M101" s="302">
        <f>IF(COUNT(M65:M73)&gt;0,SUM(M65:M73),0)</f>
        <v>0</v>
      </c>
      <c r="N101" s="302">
        <f>IF(COUNT(N65:N73)&gt;0,SUM(N65:N73),0)</f>
        <v>0</v>
      </c>
      <c r="O101" s="93"/>
      <c r="P101" s="90" t="str">
        <f>P64</f>
        <v>#7: LCA: Refrigerant slippage</v>
      </c>
      <c r="Q101" s="90"/>
      <c r="R101" s="90"/>
      <c r="S101" s="90"/>
      <c r="T101" s="90"/>
      <c r="U101" s="90"/>
      <c r="V101" s="90"/>
      <c r="W101" s="90"/>
      <c r="X101" s="90"/>
      <c r="Y101" s="302">
        <f>IF(COUNT(Y65:Y73)&gt;0,SUM(Y65:Y73),0)</f>
        <v>0</v>
      </c>
      <c r="Z101" s="302">
        <f>IF(COUNT(Z65:Z73)&gt;0,SUM(Z65:Z73),0)</f>
        <v>0</v>
      </c>
      <c r="AA101" s="302">
        <f>IF(COUNT(AA65:AA73)&gt;0,SUM(AA65:AA73),0)</f>
        <v>0</v>
      </c>
      <c r="AB101" s="302">
        <f>IF(COUNT(AB65:AB73)&gt;0,SUM(AB65:AB73),0)</f>
        <v>0</v>
      </c>
      <c r="AC101" s="51"/>
      <c r="AD101" s="90" t="str">
        <f>AD64</f>
        <v>#7: LCA: Refrigerant slippage</v>
      </c>
      <c r="AE101" s="90"/>
      <c r="AF101" s="90"/>
      <c r="AG101" s="90"/>
      <c r="AH101" s="90"/>
      <c r="AI101" s="90"/>
      <c r="AJ101" s="90"/>
      <c r="AK101" s="90"/>
      <c r="AL101" s="90"/>
      <c r="AM101" s="188">
        <f>IF(COUNT(AM65:AM73)&gt;0,SUM(AM65:AM73),0)</f>
        <v>0</v>
      </c>
      <c r="AN101" s="188">
        <f>IF(COUNT(AN65:AN73)&gt;0,SUM(AN65:AN73),0)</f>
        <v>0</v>
      </c>
      <c r="AO101" s="188">
        <f>IF(COUNT(AO65:AO73)&gt;0,SUM(AO65:AO73),0)</f>
        <v>0</v>
      </c>
      <c r="AP101" s="188">
        <f>IF(COUNT(AP65:AP73)&gt;0,SUM(AP65:AP73),0)</f>
        <v>0</v>
      </c>
      <c r="AQ101" s="146"/>
      <c r="AR101" s="90" t="str">
        <f>AR64</f>
        <v>#7: LCA: Refrigerant slippage</v>
      </c>
      <c r="AS101" s="90"/>
      <c r="AT101" s="90"/>
      <c r="AU101" s="90"/>
      <c r="AV101" s="90"/>
      <c r="AW101" s="90"/>
      <c r="AX101" s="90"/>
      <c r="AY101" s="90"/>
      <c r="AZ101" s="90"/>
      <c r="BA101" s="188">
        <f>IF(COUNT(BA65:BA73)&gt;0,SUM(BA65:BA73),0)</f>
        <v>0</v>
      </c>
      <c r="BB101" s="188">
        <f>IF(COUNT(BB65:BB73)&gt;0,SUM(BB65:BB73),0)</f>
        <v>0</v>
      </c>
      <c r="BC101" s="188">
        <f>IF(COUNT(BC65:BC73)&gt;0,SUM(BC65:BC73),0)</f>
        <v>0</v>
      </c>
      <c r="BD101" s="142"/>
      <c r="BE101" s="90" t="str">
        <f>BE64</f>
        <v>#7: LCA: Refrigerant slippage</v>
      </c>
      <c r="BF101" s="90"/>
      <c r="BG101" s="90"/>
      <c r="BH101" s="90"/>
      <c r="BI101" s="90"/>
      <c r="BJ101" s="90"/>
      <c r="BK101" s="90"/>
      <c r="BL101" s="188">
        <f>IF(COUNT(BL65:BL73)&gt;0,SUM(BL65:BL73),0)</f>
        <v>0</v>
      </c>
      <c r="BM101" s="188">
        <f>IF(COUNT(BM65:BM73)&gt;0,SUM(BM65:BM73),0)</f>
        <v>0</v>
      </c>
      <c r="BN101" s="188">
        <f>IF(COUNT(BN65:BN73)&gt;0,SUM(BN65:BN73),0)</f>
        <v>0</v>
      </c>
      <c r="BO101" s="274"/>
      <c r="BP101" s="90" t="str">
        <f>BP64</f>
        <v>#7: LCA: Refrigerant slippage</v>
      </c>
      <c r="BQ101" s="90"/>
      <c r="BR101" s="90"/>
      <c r="BS101" s="90"/>
      <c r="BT101" s="90"/>
      <c r="BU101" s="90"/>
      <c r="BV101" s="90"/>
      <c r="BW101" s="90"/>
      <c r="BX101" s="90"/>
      <c r="BY101" s="188">
        <f>IF(COUNT(BY65:BY73)&gt;0,SUM(BY65:BY73),0)</f>
        <v>0</v>
      </c>
      <c r="BZ101" s="188">
        <f>IF(COUNT(BZ65:BZ73)&gt;0,SUM(BZ65:BZ73),0)</f>
        <v>0</v>
      </c>
      <c r="CA101" s="188">
        <f>IF(COUNT(CA65:CA73)&gt;0,SUM(CA65:CA73),0)</f>
        <v>0</v>
      </c>
      <c r="CB101" s="142"/>
      <c r="CC101" s="90" t="str">
        <f>CC64</f>
        <v>#7: LCA: Refrigerant slippage</v>
      </c>
      <c r="CD101" s="90"/>
      <c r="CE101" s="90"/>
      <c r="CF101" s="90"/>
      <c r="CG101" s="90"/>
      <c r="CH101" s="90"/>
      <c r="CI101" s="90"/>
      <c r="CJ101" s="90"/>
      <c r="CK101" s="90"/>
      <c r="CL101" s="188">
        <f>IF(COUNT(CL65:CL73)&gt;0,SUM(CL65:CL73),0)</f>
        <v>0</v>
      </c>
      <c r="CM101" s="188">
        <f>IF(COUNT(CM65:CM73)&gt;0,SUM(CM65:CM73),0)</f>
        <v>0</v>
      </c>
      <c r="CN101" s="188">
        <f>IF(COUNT(CN65:CN73)&gt;0,SUM(CN65:CN73),0)</f>
        <v>0</v>
      </c>
      <c r="CO101" s="188">
        <f>IF(COUNT(CO65:CO73)&gt;0,SUM(CO65:CO73),0)</f>
        <v>0</v>
      </c>
      <c r="CP101" s="146"/>
      <c r="CQ101" s="90" t="str">
        <f>CQ64</f>
        <v>#7: LCA: Refrigerant slippage</v>
      </c>
      <c r="CR101" s="90"/>
      <c r="CS101" s="90"/>
      <c r="CT101" s="90"/>
      <c r="CU101" s="90"/>
      <c r="CV101" s="90"/>
      <c r="CW101" s="90"/>
      <c r="CX101" s="90"/>
      <c r="CY101" s="90"/>
      <c r="CZ101" s="188">
        <f>IF(COUNT(CZ65:CZ73)&gt;0,SUM(CZ65:CZ73),0)</f>
        <v>0</v>
      </c>
      <c r="DA101" s="188">
        <f>IF(COUNT(DA65:DA73)&gt;0,SUM(DA65:DA73),0)</f>
        <v>0</v>
      </c>
      <c r="DB101" s="188">
        <f>IF(COUNT(DB65:DB73)&gt;0,SUM(DB65:DB73),0)</f>
        <v>0</v>
      </c>
      <c r="DC101" s="188">
        <f>IF(COUNT(DC65:DC73)&gt;0,SUM(DC65:DC73),0)</f>
        <v>0</v>
      </c>
      <c r="DD101" s="146"/>
      <c r="DE101" s="90" t="str">
        <f>DE64</f>
        <v>#7: LCA: Refrigerant slippage</v>
      </c>
      <c r="DF101" s="90"/>
      <c r="DG101" s="90"/>
      <c r="DH101" s="90"/>
      <c r="DI101" s="90"/>
      <c r="DJ101" s="90"/>
      <c r="DK101" s="90"/>
      <c r="DL101" s="90"/>
      <c r="DM101" s="90"/>
      <c r="DN101" s="188">
        <f>IF(COUNT(DN65:DN73)&gt;0,SUM(DN65:DN73),0)</f>
        <v>0</v>
      </c>
      <c r="DO101" s="188">
        <f>IF(COUNT(DO65:DO73)&gt;0,SUM(DO65:DO73),0)</f>
        <v>0</v>
      </c>
      <c r="DP101" s="188">
        <f>IF(COUNT(DP65:DP73)&gt;0,SUM(DP65:DP73),0)</f>
        <v>0</v>
      </c>
      <c r="DQ101" s="188">
        <f>IF(COUNT(DQ65:DQ73)&gt;0,SUM(DQ65:DQ73),0)</f>
        <v>0</v>
      </c>
      <c r="DR101" s="146"/>
      <c r="DS101" s="90" t="str">
        <f>DS64</f>
        <v>#7: LCA: Refrigerant slippage</v>
      </c>
      <c r="DT101" s="90"/>
      <c r="DU101" s="90"/>
      <c r="DV101" s="90"/>
      <c r="DW101" s="90"/>
      <c r="DX101" s="90"/>
      <c r="DY101" s="90"/>
      <c r="DZ101" s="90"/>
      <c r="EA101" s="90"/>
      <c r="EB101" s="188">
        <f>IF(COUNT(EB65:EB73)&gt;0,SUM(EB65:EB73),0)</f>
        <v>0</v>
      </c>
      <c r="EC101" s="188">
        <f>IF(COUNT(EC65:EC73)&gt;0,SUM(EC65:EC73),0)</f>
        <v>0</v>
      </c>
      <c r="ED101" s="188">
        <f>IF(COUNT(ED65:ED73)&gt;0,SUM(ED65:ED73),0)</f>
        <v>0</v>
      </c>
      <c r="EE101" s="188">
        <f>IF(COUNT(EE65:EE73)&gt;0,SUM(EE65:EE73),0)</f>
        <v>0</v>
      </c>
      <c r="EF101" s="146"/>
      <c r="EG101" s="90" t="str">
        <f t="shared" si="109"/>
        <v>#7: LCA: Refrigerant slippage</v>
      </c>
      <c r="EH101" s="90"/>
      <c r="EI101" s="90"/>
      <c r="EJ101" s="90"/>
      <c r="EK101" s="90"/>
      <c r="EL101" s="90"/>
      <c r="EM101" s="90"/>
      <c r="EN101" s="90"/>
      <c r="EO101" s="90"/>
      <c r="EP101" s="188">
        <f t="shared" si="108"/>
        <v>0</v>
      </c>
      <c r="EQ101" s="188">
        <f t="shared" si="108"/>
        <v>0</v>
      </c>
      <c r="ER101" s="188">
        <f t="shared" si="108"/>
        <v>0</v>
      </c>
      <c r="ES101" s="188">
        <f t="shared" si="108"/>
        <v>0</v>
      </c>
      <c r="ET101" s="146"/>
      <c r="EU101" s="146"/>
      <c r="EV101" s="146"/>
      <c r="EW101" s="146"/>
      <c r="EX101" s="146"/>
      <c r="EY101" s="146"/>
      <c r="EZ101" s="146"/>
      <c r="FA101" s="146"/>
      <c r="FB101" s="146"/>
      <c r="FC101" s="146"/>
    </row>
    <row r="102" spans="2:159">
      <c r="B102" s="90" t="str">
        <f>B74</f>
        <v>#8: LCA: Waste</v>
      </c>
      <c r="C102" s="90"/>
      <c r="D102" s="90"/>
      <c r="E102" s="90"/>
      <c r="F102" s="90"/>
      <c r="G102" s="90"/>
      <c r="H102" s="90"/>
      <c r="I102" s="90"/>
      <c r="J102" s="90"/>
      <c r="K102" s="302">
        <f>IF(COUNT(K75:K89)&gt;0,SUM(K75:K89),0)</f>
        <v>0</v>
      </c>
      <c r="L102" s="302">
        <f>IF(COUNT(L75:L89)&gt;0,SUM(L75:L89),0)</f>
        <v>0</v>
      </c>
      <c r="M102" s="302">
        <f>IF(COUNT(M75:M89)&gt;0,SUM(M75:M89),0)</f>
        <v>0</v>
      </c>
      <c r="N102" s="302">
        <f>IF(COUNT(N75:N89)&gt;0,SUM(N75:N89),0)</f>
        <v>0</v>
      </c>
      <c r="O102" s="93"/>
      <c r="P102" s="90" t="str">
        <f>P74</f>
        <v>#8: LCA: Waste</v>
      </c>
      <c r="Q102" s="90"/>
      <c r="R102" s="90"/>
      <c r="S102" s="90"/>
      <c r="T102" s="90"/>
      <c r="U102" s="90"/>
      <c r="V102" s="90"/>
      <c r="W102" s="90"/>
      <c r="X102" s="90"/>
      <c r="Y102" s="302">
        <f>IF(COUNT(Y75:Y89)&gt;0,SUM(Y75:Y89),0)</f>
        <v>0</v>
      </c>
      <c r="Z102" s="302">
        <f>IF(COUNT(Z75:Z89)&gt;0,SUM(Z75:Z89),0)</f>
        <v>0</v>
      </c>
      <c r="AA102" s="302">
        <f>IF(COUNT(AA75:AA89)&gt;0,SUM(AA75:AA89),0)</f>
        <v>0</v>
      </c>
      <c r="AB102" s="302">
        <f>IF(COUNT(AB75:AB89)&gt;0,SUM(AB75:AB89),0)</f>
        <v>0</v>
      </c>
      <c r="AC102" s="51"/>
      <c r="AD102" s="90" t="str">
        <f>AD74</f>
        <v>#8: LCA: Waste</v>
      </c>
      <c r="AE102" s="90"/>
      <c r="AF102" s="90"/>
      <c r="AG102" s="90"/>
      <c r="AH102" s="90"/>
      <c r="AI102" s="90"/>
      <c r="AJ102" s="90"/>
      <c r="AK102" s="90"/>
      <c r="AL102" s="90"/>
      <c r="AM102" s="188">
        <f>IF(COUNT(AM75:AM89)&gt;0,SUM(AM75:AM89),0)</f>
        <v>0</v>
      </c>
      <c r="AN102" s="188">
        <f>IF(COUNT(AN75:AN89)&gt;0,SUM(AN75:AN89),0)</f>
        <v>0</v>
      </c>
      <c r="AO102" s="188">
        <f>IF(COUNT(AO75:AO89)&gt;0,SUM(AO75:AO89),0)</f>
        <v>0</v>
      </c>
      <c r="AP102" s="188">
        <f>IF(COUNT(AP75:AP89)&gt;0,SUM(AP75:AP89),0)</f>
        <v>0</v>
      </c>
      <c r="AQ102" s="146"/>
      <c r="AR102" s="90" t="str">
        <f>AR74</f>
        <v>#8: LCA: Waste</v>
      </c>
      <c r="AS102" s="90"/>
      <c r="AT102" s="90"/>
      <c r="AU102" s="90"/>
      <c r="AV102" s="90"/>
      <c r="AW102" s="90"/>
      <c r="AX102" s="90"/>
      <c r="AY102" s="90"/>
      <c r="AZ102" s="90"/>
      <c r="BA102" s="188">
        <f>IF(COUNT(BA75:BA89)&gt;0,SUM(BA75:BA89),0)</f>
        <v>0</v>
      </c>
      <c r="BB102" s="188">
        <f>IF(COUNT(BB75:BB89)&gt;0,SUM(BB75:BB89),0)</f>
        <v>0</v>
      </c>
      <c r="BC102" s="188">
        <f>IF(COUNT(BC75:BC89)&gt;0,SUM(BC75:BC89),0)</f>
        <v>0</v>
      </c>
      <c r="BD102" s="142"/>
      <c r="BE102" s="90" t="str">
        <f>BE74</f>
        <v>#8: LCA: Waste</v>
      </c>
      <c r="BF102" s="90"/>
      <c r="BG102" s="90"/>
      <c r="BH102" s="90"/>
      <c r="BI102" s="90"/>
      <c r="BJ102" s="90"/>
      <c r="BK102" s="90"/>
      <c r="BL102" s="188">
        <f>IF(COUNT(BL75:BL89)&gt;0,SUM(BL75:BL89),0)</f>
        <v>0</v>
      </c>
      <c r="BM102" s="188">
        <f>IF(COUNT(BM75:BM89)&gt;0,SUM(BM75:BM89),0)</f>
        <v>0</v>
      </c>
      <c r="BN102" s="188">
        <f>IF(COUNT(BN75:BN89)&gt;0,SUM(BN75:BN89),0)</f>
        <v>0</v>
      </c>
      <c r="BO102" s="274"/>
      <c r="BP102" s="90" t="str">
        <f>BP74</f>
        <v>#8: LCA: Waste</v>
      </c>
      <c r="BQ102" s="90"/>
      <c r="BR102" s="90"/>
      <c r="BS102" s="90"/>
      <c r="BT102" s="90"/>
      <c r="BU102" s="90"/>
      <c r="BV102" s="90"/>
      <c r="BW102" s="90"/>
      <c r="BX102" s="90"/>
      <c r="BY102" s="188">
        <f>IF(COUNT(BY75:BY89)&gt;0,SUM(BY75:BY89),0)</f>
        <v>0</v>
      </c>
      <c r="BZ102" s="188">
        <f>IF(COUNT(BZ75:BZ89)&gt;0,SUM(BZ75:BZ89),0)</f>
        <v>0</v>
      </c>
      <c r="CA102" s="188">
        <f>IF(COUNT(CA75:CA89)&gt;0,SUM(CA75:CA89),0)</f>
        <v>0</v>
      </c>
      <c r="CB102" s="142"/>
      <c r="CC102" s="90" t="str">
        <f>CC74</f>
        <v>#8: LCA: Waste</v>
      </c>
      <c r="CD102" s="90"/>
      <c r="CE102" s="90"/>
      <c r="CF102" s="90"/>
      <c r="CG102" s="90"/>
      <c r="CH102" s="90"/>
      <c r="CI102" s="90"/>
      <c r="CJ102" s="90"/>
      <c r="CK102" s="90"/>
      <c r="CL102" s="188">
        <f>IF(COUNT(CL75:CL89)&gt;0,SUM(CL75:CL89),0)</f>
        <v>0</v>
      </c>
      <c r="CM102" s="188">
        <f>IF(COUNT(CM75:CM89)&gt;0,SUM(CM75:CM89),0)</f>
        <v>0</v>
      </c>
      <c r="CN102" s="188">
        <f>IF(COUNT(CN75:CN89)&gt;0,SUM(CN75:CN89),0)</f>
        <v>0</v>
      </c>
      <c r="CO102" s="188">
        <f>IF(COUNT(CO75:CO89)&gt;0,SUM(CO75:CO89),0)</f>
        <v>0</v>
      </c>
      <c r="CP102" s="146"/>
      <c r="CQ102" s="90" t="str">
        <f>CQ74</f>
        <v>#8: LCA: Waste</v>
      </c>
      <c r="CR102" s="90"/>
      <c r="CS102" s="90"/>
      <c r="CT102" s="90"/>
      <c r="CU102" s="90"/>
      <c r="CV102" s="90"/>
      <c r="CW102" s="90"/>
      <c r="CX102" s="90"/>
      <c r="CY102" s="90"/>
      <c r="CZ102" s="188">
        <f>IF(COUNT(CZ75:CZ89)&gt;0,SUM(CZ75:CZ89),0)</f>
        <v>0</v>
      </c>
      <c r="DA102" s="188">
        <f>IF(COUNT(DA75:DA89)&gt;0,SUM(DA75:DA89),0)</f>
        <v>0</v>
      </c>
      <c r="DB102" s="188">
        <f>IF(COUNT(DB75:DB89)&gt;0,SUM(DB75:DB89),0)</f>
        <v>0</v>
      </c>
      <c r="DC102" s="188">
        <f>IF(COUNT(DC75:DC89)&gt;0,SUM(DC75:DC89),0)</f>
        <v>0</v>
      </c>
      <c r="DD102" s="146"/>
      <c r="DE102" s="90" t="str">
        <f>DE74</f>
        <v>#8: LCA: Waste</v>
      </c>
      <c r="DF102" s="90"/>
      <c r="DG102" s="90"/>
      <c r="DH102" s="90"/>
      <c r="DI102" s="90"/>
      <c r="DJ102" s="90"/>
      <c r="DK102" s="90"/>
      <c r="DL102" s="90"/>
      <c r="DM102" s="90"/>
      <c r="DN102" s="188">
        <f>IF(COUNT(DN75:DN89)&gt;0,SUM(DN75:DN89),0)</f>
        <v>0</v>
      </c>
      <c r="DO102" s="188">
        <f>IF(COUNT(DO75:DO89)&gt;0,SUM(DO75:DO89),0)</f>
        <v>0</v>
      </c>
      <c r="DP102" s="188">
        <f>IF(COUNT(DP75:DP89)&gt;0,SUM(DP75:DP89),0)</f>
        <v>0</v>
      </c>
      <c r="DQ102" s="188">
        <f>IF(COUNT(DQ75:DQ89)&gt;0,SUM(DQ75:DQ89),0)</f>
        <v>0</v>
      </c>
      <c r="DR102" s="146"/>
      <c r="DS102" s="90" t="str">
        <f>DS74</f>
        <v>#8: LCA: Waste</v>
      </c>
      <c r="DT102" s="90"/>
      <c r="DU102" s="90"/>
      <c r="DV102" s="90"/>
      <c r="DW102" s="90"/>
      <c r="DX102" s="90"/>
      <c r="DY102" s="90"/>
      <c r="DZ102" s="90"/>
      <c r="EA102" s="90"/>
      <c r="EB102" s="188">
        <f>IF(COUNT(EB75:EB89)&gt;0,SUM(EB75:EB89),0)</f>
        <v>0</v>
      </c>
      <c r="EC102" s="188">
        <f>IF(COUNT(EC75:EC89)&gt;0,SUM(EC75:EC89),0)</f>
        <v>0</v>
      </c>
      <c r="ED102" s="188">
        <f>IF(COUNT(ED75:ED89)&gt;0,SUM(ED75:ED89),0)</f>
        <v>0</v>
      </c>
      <c r="EE102" s="188">
        <f>IF(COUNT(EE75:EE89)&gt;0,SUM(EE75:EE89),0)</f>
        <v>0</v>
      </c>
      <c r="EF102" s="146"/>
      <c r="EG102" s="90" t="str">
        <f t="shared" si="109"/>
        <v>#8: LCA: Waste</v>
      </c>
      <c r="EH102" s="90"/>
      <c r="EI102" s="90"/>
      <c r="EJ102" s="90"/>
      <c r="EK102" s="90"/>
      <c r="EL102" s="90"/>
      <c r="EM102" s="90"/>
      <c r="EN102" s="90"/>
      <c r="EO102" s="90"/>
      <c r="EP102" s="188">
        <f t="shared" si="108"/>
        <v>0</v>
      </c>
      <c r="EQ102" s="188">
        <f t="shared" si="108"/>
        <v>0</v>
      </c>
      <c r="ER102" s="188">
        <f t="shared" si="108"/>
        <v>0</v>
      </c>
      <c r="ES102" s="188">
        <f t="shared" si="108"/>
        <v>0</v>
      </c>
      <c r="ET102" s="146"/>
      <c r="EU102" s="146"/>
      <c r="EV102" s="146"/>
      <c r="EW102" s="146"/>
      <c r="EX102" s="146"/>
      <c r="EY102" s="146"/>
      <c r="EZ102" s="146"/>
      <c r="FA102" s="146"/>
      <c r="FB102" s="146"/>
      <c r="FC102" s="146"/>
    </row>
    <row r="103" spans="2:159">
      <c r="B103" s="90" t="str">
        <f>VLOOKUP("Hidden_Calculation_Total",Hidden_Translations!$B$11:$J$1184,Hidden_Translations!$C$8,FALSE)</f>
        <v>Total</v>
      </c>
      <c r="C103" s="90"/>
      <c r="D103" s="90"/>
      <c r="E103" s="90"/>
      <c r="F103" s="90"/>
      <c r="G103" s="90"/>
      <c r="H103" s="90"/>
      <c r="I103" s="90"/>
      <c r="J103" s="90"/>
      <c r="K103" s="302">
        <f>SUM(K95:K102)</f>
        <v>0</v>
      </c>
      <c r="L103" s="302">
        <f>SUM(L95:L102)</f>
        <v>0</v>
      </c>
      <c r="M103" s="302">
        <f>SUM(M95:M102)</f>
        <v>0</v>
      </c>
      <c r="N103" s="302">
        <f>SUM(N95:N102)</f>
        <v>0</v>
      </c>
      <c r="O103" s="93"/>
      <c r="P103" s="90" t="str">
        <f>B103</f>
        <v>Total</v>
      </c>
      <c r="Q103" s="90"/>
      <c r="R103" s="90"/>
      <c r="S103" s="90"/>
      <c r="T103" s="90"/>
      <c r="U103" s="90"/>
      <c r="V103" s="90"/>
      <c r="W103" s="90"/>
      <c r="X103" s="90"/>
      <c r="Y103" s="302">
        <f>SUM(Y95:Y102)</f>
        <v>0</v>
      </c>
      <c r="Z103" s="302">
        <f>SUM(Z95:Z102)</f>
        <v>0</v>
      </c>
      <c r="AA103" s="302">
        <f>SUM(AA95:AA102)</f>
        <v>0</v>
      </c>
      <c r="AB103" s="302">
        <f>SUM(AB95:AB102)</f>
        <v>0</v>
      </c>
      <c r="AC103" s="51"/>
      <c r="AD103" s="90" t="str">
        <f>B103</f>
        <v>Total</v>
      </c>
      <c r="AE103" s="90"/>
      <c r="AF103" s="90"/>
      <c r="AG103" s="90"/>
      <c r="AH103" s="90"/>
      <c r="AI103" s="90"/>
      <c r="AJ103" s="90"/>
      <c r="AK103" s="90"/>
      <c r="AL103" s="90"/>
      <c r="AM103" s="188">
        <f>SUM(AM95:AM102)</f>
        <v>0</v>
      </c>
      <c r="AN103" s="188">
        <f>SUM(AN95:AN102)</f>
        <v>0</v>
      </c>
      <c r="AO103" s="188">
        <f>SUM(AO95:AO102)</f>
        <v>0</v>
      </c>
      <c r="AP103" s="188">
        <f>SUM(AP95:AP102)</f>
        <v>0</v>
      </c>
      <c r="AQ103" s="146"/>
      <c r="AR103" s="90" t="str">
        <f>AD103</f>
        <v>Total</v>
      </c>
      <c r="AS103" s="90"/>
      <c r="AT103" s="90"/>
      <c r="AU103" s="90"/>
      <c r="AV103" s="90"/>
      <c r="AW103" s="90"/>
      <c r="AX103" s="90"/>
      <c r="AY103" s="90"/>
      <c r="AZ103" s="90"/>
      <c r="BA103" s="188">
        <f>SUM(BA95:BA102)</f>
        <v>0</v>
      </c>
      <c r="BB103" s="188">
        <f>SUM(BB95:BB102)</f>
        <v>0</v>
      </c>
      <c r="BC103" s="188">
        <f>SUM(BC95:BC102)</f>
        <v>0</v>
      </c>
      <c r="BD103" s="142"/>
      <c r="BE103" s="90" t="str">
        <f>AR103</f>
        <v>Total</v>
      </c>
      <c r="BF103" s="90"/>
      <c r="BG103" s="90"/>
      <c r="BH103" s="90"/>
      <c r="BI103" s="90"/>
      <c r="BJ103" s="90"/>
      <c r="BK103" s="90"/>
      <c r="BL103" s="188">
        <f>SUM(BL95:BL102)</f>
        <v>0</v>
      </c>
      <c r="BM103" s="188">
        <f>SUM(BM95:BM102)</f>
        <v>0</v>
      </c>
      <c r="BN103" s="188">
        <f>SUM(BN95:BN102)</f>
        <v>0</v>
      </c>
      <c r="BO103" s="274"/>
      <c r="BP103" s="90" t="str">
        <f>BE103</f>
        <v>Total</v>
      </c>
      <c r="BQ103" s="90"/>
      <c r="BR103" s="90"/>
      <c r="BS103" s="90"/>
      <c r="BT103" s="90"/>
      <c r="BU103" s="90"/>
      <c r="BV103" s="90"/>
      <c r="BW103" s="90"/>
      <c r="BX103" s="90"/>
      <c r="BY103" s="188">
        <f>SUM(BY95:BY102)</f>
        <v>0</v>
      </c>
      <c r="BZ103" s="188">
        <f>SUM(BZ95:BZ102)</f>
        <v>0</v>
      </c>
      <c r="CA103" s="188">
        <f>SUM(CA95:CA102)</f>
        <v>0</v>
      </c>
      <c r="CB103" s="142"/>
      <c r="CC103" s="143" t="str">
        <f>B103</f>
        <v>Total</v>
      </c>
      <c r="CD103" s="90"/>
      <c r="CE103" s="90"/>
      <c r="CF103" s="90"/>
      <c r="CG103" s="90"/>
      <c r="CH103" s="90"/>
      <c r="CI103" s="90"/>
      <c r="CJ103" s="90"/>
      <c r="CK103" s="90"/>
      <c r="CL103" s="188">
        <f>SUM(CL95:CL102)</f>
        <v>0</v>
      </c>
      <c r="CM103" s="188">
        <f>SUM(CM95:CM102)</f>
        <v>0</v>
      </c>
      <c r="CN103" s="188">
        <f>SUM(CN95:CN102)</f>
        <v>0</v>
      </c>
      <c r="CO103" s="188">
        <f>SUM(CO95:CO102)</f>
        <v>0</v>
      </c>
      <c r="CP103" s="146"/>
      <c r="CQ103" s="90" t="str">
        <f>B103</f>
        <v>Total</v>
      </c>
      <c r="CR103" s="90"/>
      <c r="CS103" s="90"/>
      <c r="CT103" s="90"/>
      <c r="CU103" s="90"/>
      <c r="CV103" s="90"/>
      <c r="CW103" s="90"/>
      <c r="CX103" s="90"/>
      <c r="CY103" s="90"/>
      <c r="CZ103" s="188">
        <f>SUM(CZ95:CZ102)</f>
        <v>0</v>
      </c>
      <c r="DA103" s="188">
        <f>SUM(DA95:DA102)</f>
        <v>0</v>
      </c>
      <c r="DB103" s="188">
        <f>SUM(DB95:DB102)</f>
        <v>0</v>
      </c>
      <c r="DC103" s="188">
        <f>SUM(DC95:DC102)</f>
        <v>0</v>
      </c>
      <c r="DD103" s="146"/>
      <c r="DE103" s="90" t="str">
        <f>B103</f>
        <v>Total</v>
      </c>
      <c r="DF103" s="90"/>
      <c r="DG103" s="90"/>
      <c r="DH103" s="90"/>
      <c r="DI103" s="90"/>
      <c r="DJ103" s="90"/>
      <c r="DK103" s="90"/>
      <c r="DL103" s="90"/>
      <c r="DM103" s="90"/>
      <c r="DN103" s="188">
        <f>SUM(DN95:DN102)</f>
        <v>0</v>
      </c>
      <c r="DO103" s="188">
        <f>SUM(DO95:DO102)</f>
        <v>0</v>
      </c>
      <c r="DP103" s="188">
        <f>SUM(DP95:DP102)</f>
        <v>0</v>
      </c>
      <c r="DQ103" s="188">
        <f>SUM(DQ95:DQ102)</f>
        <v>0</v>
      </c>
      <c r="DR103" s="146"/>
      <c r="DS103" s="90" t="str">
        <f>B103</f>
        <v>Total</v>
      </c>
      <c r="DT103" s="90"/>
      <c r="DU103" s="90"/>
      <c r="DV103" s="90"/>
      <c r="DW103" s="90"/>
      <c r="DX103" s="90"/>
      <c r="DY103" s="90"/>
      <c r="DZ103" s="90"/>
      <c r="EA103" s="90"/>
      <c r="EB103" s="188">
        <f>SUM(EB95:EB102)</f>
        <v>0</v>
      </c>
      <c r="EC103" s="188">
        <f>SUM(EC95:EC102)</f>
        <v>0</v>
      </c>
      <c r="ED103" s="188">
        <f>SUM(ED95:ED102)</f>
        <v>0</v>
      </c>
      <c r="EE103" s="188">
        <f>SUM(EE95:EE102)</f>
        <v>0</v>
      </c>
      <c r="EF103" s="146"/>
      <c r="EG103" s="90" t="str">
        <f>B103</f>
        <v>Total</v>
      </c>
      <c r="EH103" s="90"/>
      <c r="EI103" s="90"/>
      <c r="EJ103" s="90"/>
      <c r="EK103" s="90"/>
      <c r="EL103" s="90"/>
      <c r="EM103" s="90"/>
      <c r="EN103" s="90"/>
      <c r="EO103" s="90"/>
      <c r="EP103" s="188">
        <f>SUM(EP95:EP102)</f>
        <v>0</v>
      </c>
      <c r="EQ103" s="188">
        <f>SUM(EQ95:EQ102)</f>
        <v>0</v>
      </c>
      <c r="ER103" s="188">
        <f>SUM(ER95:ER102)</f>
        <v>0</v>
      </c>
      <c r="ES103" s="188">
        <f>SUM(ES95:ES102)</f>
        <v>0</v>
      </c>
      <c r="ET103" s="146"/>
      <c r="EU103" s="146"/>
      <c r="EV103" s="146"/>
      <c r="EW103" s="146"/>
      <c r="EX103" s="146"/>
      <c r="EY103" s="146"/>
      <c r="EZ103" s="146"/>
      <c r="FA103" s="146"/>
      <c r="FB103" s="146"/>
      <c r="FC103" s="146"/>
    </row>
    <row r="104" spans="2:159">
      <c r="O104" s="93"/>
      <c r="AC104" s="51"/>
      <c r="AQ104" s="146"/>
      <c r="AR104" s="92"/>
      <c r="BD104" s="142"/>
      <c r="BO104" s="274"/>
      <c r="CB104" s="142"/>
      <c r="CD104" s="92"/>
      <c r="CP104" s="146"/>
      <c r="CR104" s="92"/>
      <c r="DD104" s="146"/>
      <c r="DF104" s="92"/>
      <c r="DR104" s="146"/>
      <c r="EF104" s="146"/>
      <c r="ET104" s="146"/>
      <c r="EU104" s="146"/>
      <c r="EV104" s="146"/>
      <c r="EW104" s="146"/>
      <c r="EX104" s="146"/>
      <c r="EY104" s="146"/>
      <c r="EZ104" s="146"/>
      <c r="FA104" s="146"/>
      <c r="FB104" s="146"/>
      <c r="FC104" s="146"/>
    </row>
    <row r="105" spans="2:159">
      <c r="B105" s="69" t="str">
        <f>VLOOKUP("Hidden_Calculation_Header_LCA_Results_Specific",Hidden_Translations!$B$11:$J$1184,Hidden_Translations!$C$8,FALSE)</f>
        <v>LCA results: Specific impact</v>
      </c>
      <c r="C105" s="70"/>
      <c r="D105" s="70"/>
      <c r="E105" s="169"/>
      <c r="F105" s="70"/>
      <c r="G105" s="70"/>
      <c r="H105" s="70"/>
      <c r="I105" s="70"/>
      <c r="J105" s="70"/>
      <c r="K105" s="70"/>
      <c r="L105" s="157"/>
      <c r="M105" s="157"/>
      <c r="N105" s="157"/>
      <c r="O105" s="93"/>
      <c r="P105" s="69" t="str">
        <f>B105</f>
        <v>LCA results: Specific impact</v>
      </c>
      <c r="Q105" s="70"/>
      <c r="R105" s="70"/>
      <c r="S105" s="169"/>
      <c r="T105" s="70"/>
      <c r="U105" s="70"/>
      <c r="V105" s="70"/>
      <c r="W105" s="70"/>
      <c r="X105" s="70"/>
      <c r="Y105" s="70"/>
      <c r="Z105" s="157"/>
      <c r="AA105" s="157"/>
      <c r="AB105" s="157"/>
      <c r="AC105" s="51"/>
      <c r="AD105" s="69" t="str">
        <f>B105</f>
        <v>LCA results: Specific impact</v>
      </c>
      <c r="AE105" s="70"/>
      <c r="AF105" s="70"/>
      <c r="AG105" s="169"/>
      <c r="AH105" s="70"/>
      <c r="AI105" s="70"/>
      <c r="AJ105" s="70"/>
      <c r="AK105" s="70"/>
      <c r="AL105" s="70"/>
      <c r="AM105" s="70"/>
      <c r="AN105" s="157"/>
      <c r="AO105" s="157"/>
      <c r="AP105" s="157"/>
      <c r="AQ105" s="146"/>
      <c r="AR105" s="69" t="str">
        <f>AD105</f>
        <v>LCA results: Specific impact</v>
      </c>
      <c r="AS105" s="70"/>
      <c r="AT105" s="70"/>
      <c r="AU105" s="169"/>
      <c r="AV105" s="70"/>
      <c r="AW105" s="70"/>
      <c r="AX105" s="70"/>
      <c r="AY105" s="70"/>
      <c r="AZ105" s="70"/>
      <c r="BA105" s="70"/>
      <c r="BB105" s="157"/>
      <c r="BC105" s="157"/>
      <c r="BD105" s="142"/>
      <c r="BE105" s="69" t="str">
        <f>AR105</f>
        <v>LCA results: Specific impact</v>
      </c>
      <c r="BF105" s="70"/>
      <c r="BG105" s="70"/>
      <c r="BH105" s="169"/>
      <c r="BI105" s="70"/>
      <c r="BJ105" s="70"/>
      <c r="BK105" s="70"/>
      <c r="BL105" s="70"/>
      <c r="BM105" s="157"/>
      <c r="BN105" s="157"/>
      <c r="BO105" s="274"/>
      <c r="BP105" s="69" t="str">
        <f>BE105</f>
        <v>LCA results: Specific impact</v>
      </c>
      <c r="BQ105" s="70"/>
      <c r="BR105" s="70"/>
      <c r="BS105" s="169"/>
      <c r="BT105" s="70"/>
      <c r="BU105" s="70"/>
      <c r="BV105" s="70"/>
      <c r="BW105" s="70"/>
      <c r="BX105" s="70"/>
      <c r="BY105" s="70"/>
      <c r="BZ105" s="157"/>
      <c r="CA105" s="157"/>
      <c r="CB105" s="142"/>
      <c r="CC105" s="69" t="str">
        <f>B105</f>
        <v>LCA results: Specific impact</v>
      </c>
      <c r="CD105" s="70"/>
      <c r="CE105" s="70"/>
      <c r="CF105" s="169"/>
      <c r="CG105" s="70"/>
      <c r="CH105" s="70"/>
      <c r="CI105" s="70"/>
      <c r="CJ105" s="70"/>
      <c r="CK105" s="70"/>
      <c r="CL105" s="70"/>
      <c r="CM105" s="157"/>
      <c r="CN105" s="157"/>
      <c r="CO105" s="157"/>
      <c r="CP105" s="146"/>
      <c r="CQ105" s="69" t="str">
        <f>B105</f>
        <v>LCA results: Specific impact</v>
      </c>
      <c r="CR105" s="70"/>
      <c r="CS105" s="70"/>
      <c r="CT105" s="169"/>
      <c r="CU105" s="70"/>
      <c r="CV105" s="70"/>
      <c r="CW105" s="70"/>
      <c r="CX105" s="70"/>
      <c r="CY105" s="70"/>
      <c r="CZ105" s="70"/>
      <c r="DA105" s="157"/>
      <c r="DB105" s="157"/>
      <c r="DC105" s="157"/>
      <c r="DD105" s="146"/>
      <c r="DE105" s="69" t="str">
        <f>B105</f>
        <v>LCA results: Specific impact</v>
      </c>
      <c r="DF105" s="70"/>
      <c r="DG105" s="70"/>
      <c r="DH105" s="169"/>
      <c r="DI105" s="70"/>
      <c r="DJ105" s="70"/>
      <c r="DK105" s="70"/>
      <c r="DL105" s="70"/>
      <c r="DM105" s="70"/>
      <c r="DN105" s="70"/>
      <c r="DO105" s="157"/>
      <c r="DP105" s="157"/>
      <c r="DQ105" s="157"/>
      <c r="DR105" s="146"/>
      <c r="DS105" s="69" t="str">
        <f>P105</f>
        <v>LCA results: Specific impact</v>
      </c>
      <c r="DT105" s="70"/>
      <c r="DU105" s="70"/>
      <c r="DV105" s="169"/>
      <c r="DW105" s="70"/>
      <c r="DX105" s="70"/>
      <c r="DY105" s="70"/>
      <c r="DZ105" s="70"/>
      <c r="EA105" s="70"/>
      <c r="EB105" s="70"/>
      <c r="EC105" s="157"/>
      <c r="ED105" s="157"/>
      <c r="EE105" s="157"/>
      <c r="EF105" s="146"/>
      <c r="EG105" s="69" t="str">
        <f>AD105</f>
        <v>LCA results: Specific impact</v>
      </c>
      <c r="EH105" s="70"/>
      <c r="EI105" s="70"/>
      <c r="EJ105" s="169"/>
      <c r="EK105" s="70"/>
      <c r="EL105" s="70"/>
      <c r="EM105" s="70"/>
      <c r="EN105" s="70"/>
      <c r="EO105" s="70"/>
      <c r="EP105" s="70"/>
      <c r="EQ105" s="157"/>
      <c r="ER105" s="157"/>
      <c r="ES105" s="157"/>
      <c r="ET105" s="146"/>
      <c r="EU105" s="146"/>
      <c r="EV105" s="146"/>
      <c r="EW105" s="146"/>
      <c r="EX105" s="146"/>
      <c r="EY105" s="146"/>
      <c r="EZ105" s="146"/>
      <c r="FA105" s="146"/>
      <c r="FB105" s="146"/>
      <c r="FC105" s="146"/>
    </row>
    <row r="106" spans="2:159">
      <c r="K106" s="147" t="str">
        <f>K93</f>
        <v>GWP</v>
      </c>
      <c r="L106" s="147" t="str">
        <f>L93</f>
        <v>CED</v>
      </c>
      <c r="M106" s="147" t="str">
        <f>M93</f>
        <v>AWARE</v>
      </c>
      <c r="N106" s="147" t="str">
        <f>N93</f>
        <v>Price</v>
      </c>
      <c r="O106" s="93"/>
      <c r="Y106" s="147" t="str">
        <f>K106</f>
        <v>GWP</v>
      </c>
      <c r="Z106" s="147" t="str">
        <f t="shared" ref="Z106" si="110">L106</f>
        <v>CED</v>
      </c>
      <c r="AA106" s="147" t="str">
        <f t="shared" ref="AA106" si="111">M106</f>
        <v>AWARE</v>
      </c>
      <c r="AB106" s="147" t="str">
        <f t="shared" ref="AB106" si="112">N106</f>
        <v>Price</v>
      </c>
      <c r="AC106" s="51"/>
      <c r="AM106" s="147" t="str">
        <f t="shared" ref="AM106:AP107" si="113">Y106</f>
        <v>GWP</v>
      </c>
      <c r="AN106" s="147" t="str">
        <f t="shared" si="113"/>
        <v>CED</v>
      </c>
      <c r="AO106" s="147" t="str">
        <f t="shared" si="113"/>
        <v>AWARE</v>
      </c>
      <c r="AP106" s="147" t="str">
        <f t="shared" si="113"/>
        <v>Price</v>
      </c>
      <c r="AQ106" s="146"/>
      <c r="AR106" s="92"/>
      <c r="BA106" s="147" t="str">
        <f>K106</f>
        <v>GWP</v>
      </c>
      <c r="BB106" s="147" t="str">
        <f t="shared" ref="BB106" si="114">L106</f>
        <v>CED</v>
      </c>
      <c r="BC106" s="147" t="str">
        <f t="shared" ref="BC106" si="115">M106</f>
        <v>AWARE</v>
      </c>
      <c r="BD106" s="142"/>
      <c r="BL106" s="147" t="str">
        <f>K106</f>
        <v>GWP</v>
      </c>
      <c r="BM106" s="147" t="str">
        <f t="shared" ref="BM106" si="116">L106</f>
        <v>CED</v>
      </c>
      <c r="BN106" s="147" t="str">
        <f t="shared" ref="BN106" si="117">M106</f>
        <v>AWARE</v>
      </c>
      <c r="BO106" s="274"/>
      <c r="BY106" s="147" t="str">
        <f>K106</f>
        <v>GWP</v>
      </c>
      <c r="BZ106" s="147" t="str">
        <f t="shared" ref="BZ106" si="118">L106</f>
        <v>CED</v>
      </c>
      <c r="CA106" s="147" t="str">
        <f t="shared" ref="CA106" si="119">M106</f>
        <v>AWARE</v>
      </c>
      <c r="CB106" s="142"/>
      <c r="CD106" s="92"/>
      <c r="CL106" s="147" t="str">
        <f>K106</f>
        <v>GWP</v>
      </c>
      <c r="CM106" s="147" t="str">
        <f t="shared" ref="CM106" si="120">L106</f>
        <v>CED</v>
      </c>
      <c r="CN106" s="147" t="str">
        <f t="shared" ref="CN106" si="121">M106</f>
        <v>AWARE</v>
      </c>
      <c r="CO106" s="147" t="str">
        <f t="shared" ref="CO106" si="122">N106</f>
        <v>Price</v>
      </c>
      <c r="CP106" s="146"/>
      <c r="CR106" s="92"/>
      <c r="CZ106" s="147" t="str">
        <f>Y106</f>
        <v>GWP</v>
      </c>
      <c r="DA106" s="147" t="str">
        <f t="shared" ref="DA106" si="123">Z106</f>
        <v>CED</v>
      </c>
      <c r="DB106" s="147" t="str">
        <f t="shared" ref="DB106" si="124">AA106</f>
        <v>AWARE</v>
      </c>
      <c r="DC106" s="147" t="str">
        <f t="shared" ref="DC106" si="125">AB106</f>
        <v>Price</v>
      </c>
      <c r="DD106" s="146"/>
      <c r="DF106" s="92"/>
      <c r="DN106" s="147" t="str">
        <f>AM106</f>
        <v>GWP</v>
      </c>
      <c r="DO106" s="147" t="str">
        <f t="shared" ref="DO106" si="126">AN106</f>
        <v>CED</v>
      </c>
      <c r="DP106" s="147" t="str">
        <f t="shared" ref="DP106" si="127">AO106</f>
        <v>AWARE</v>
      </c>
      <c r="DQ106" s="147" t="str">
        <f t="shared" ref="DQ106" si="128">AP106</f>
        <v>Price</v>
      </c>
      <c r="DR106" s="146"/>
      <c r="EB106" s="147" t="str">
        <f>K106</f>
        <v>GWP</v>
      </c>
      <c r="EC106" s="147" t="str">
        <f t="shared" ref="EC106" si="129">L106</f>
        <v>CED</v>
      </c>
      <c r="ED106" s="147" t="str">
        <f t="shared" ref="ED106" si="130">M106</f>
        <v>AWARE</v>
      </c>
      <c r="EE106" s="147" t="str">
        <f t="shared" ref="EE106" si="131">N106</f>
        <v>Price</v>
      </c>
      <c r="EF106" s="146"/>
      <c r="EP106" s="147" t="str">
        <f>K106</f>
        <v>GWP</v>
      </c>
      <c r="EQ106" s="147" t="str">
        <f t="shared" ref="EQ106" si="132">L106</f>
        <v>CED</v>
      </c>
      <c r="ER106" s="147" t="str">
        <f t="shared" ref="ER106" si="133">M106</f>
        <v>AWARE</v>
      </c>
      <c r="ES106" s="147" t="str">
        <f t="shared" ref="ES106" si="134">N106</f>
        <v>Price</v>
      </c>
      <c r="ET106" s="146"/>
      <c r="EU106" s="146"/>
      <c r="EV106" s="146"/>
      <c r="EW106" s="146"/>
      <c r="EX106" s="146"/>
      <c r="EY106" s="146"/>
      <c r="EZ106" s="146"/>
      <c r="FA106" s="146"/>
      <c r="FB106" s="146"/>
      <c r="FC106" s="146"/>
    </row>
    <row r="107" spans="2:159">
      <c r="K107" s="147" t="str">
        <f>VLOOKUP("Units_kg_CO2_FU",Hidden_Translations!$B$11:$J$1184,Hidden_Translations!$C$8,FALSE)</f>
        <v>[kg CO2 eq/FU]</v>
      </c>
      <c r="L107" s="147" t="str">
        <f>VLOOKUP("Units_MJ_FU",Hidden_Translations!$B$11:$J$1184,Hidden_Translations!$C$8,FALSE)</f>
        <v>[MJ/FU]</v>
      </c>
      <c r="M107" s="147" t="str">
        <f>VLOOKUP("Units_m3_FU",Hidden_Translations!$B$11:$J$1184,Hidden_Translations!$C$8,FALSE)</f>
        <v>[m³ eq./FU]</v>
      </c>
      <c r="N107" s="147" t="str">
        <f>VLOOKUP("Units_Euro_FU",Hidden_Translations!$B$11:$J$1184,Hidden_Translations!$C$8,FALSE)</f>
        <v>[Euro/FU]</v>
      </c>
      <c r="O107" s="93"/>
      <c r="Y107" s="147" t="str">
        <f>K107</f>
        <v>[kg CO2 eq/FU]</v>
      </c>
      <c r="Z107" s="147" t="str">
        <f t="shared" ref="Z107:AB107" si="135">L107</f>
        <v>[MJ/FU]</v>
      </c>
      <c r="AA107" s="147" t="str">
        <f t="shared" si="135"/>
        <v>[m³ eq./FU]</v>
      </c>
      <c r="AB107" s="147" t="str">
        <f t="shared" si="135"/>
        <v>[Euro/FU]</v>
      </c>
      <c r="AC107" s="51"/>
      <c r="AM107" s="147" t="str">
        <f t="shared" si="113"/>
        <v>[kg CO2 eq/FU]</v>
      </c>
      <c r="AN107" s="147" t="str">
        <f t="shared" si="113"/>
        <v>[MJ/FU]</v>
      </c>
      <c r="AO107" s="147" t="str">
        <f t="shared" si="113"/>
        <v>[m³ eq./FU]</v>
      </c>
      <c r="AP107" s="147" t="str">
        <f t="shared" si="113"/>
        <v>[Euro/FU]</v>
      </c>
      <c r="AQ107" s="146"/>
      <c r="AR107" s="92"/>
      <c r="BA107" s="147" t="str">
        <f>K107</f>
        <v>[kg CO2 eq/FU]</v>
      </c>
      <c r="BB107" s="147" t="str">
        <f t="shared" ref="BB107:BC107" si="136">L107</f>
        <v>[MJ/FU]</v>
      </c>
      <c r="BC107" s="147" t="str">
        <f t="shared" si="136"/>
        <v>[m³ eq./FU]</v>
      </c>
      <c r="BD107" s="142"/>
      <c r="BL107" s="147" t="str">
        <f>K107</f>
        <v>[kg CO2 eq/FU]</v>
      </c>
      <c r="BM107" s="147" t="str">
        <f t="shared" ref="BM107:BN107" si="137">L107</f>
        <v>[MJ/FU]</v>
      </c>
      <c r="BN107" s="147" t="str">
        <f t="shared" si="137"/>
        <v>[m³ eq./FU]</v>
      </c>
      <c r="BO107" s="274"/>
      <c r="BY107" s="147" t="str">
        <f>K107</f>
        <v>[kg CO2 eq/FU]</v>
      </c>
      <c r="BZ107" s="147" t="str">
        <f t="shared" ref="BZ107:CA107" si="138">L107</f>
        <v>[MJ/FU]</v>
      </c>
      <c r="CA107" s="147" t="str">
        <f t="shared" si="138"/>
        <v>[m³ eq./FU]</v>
      </c>
      <c r="CB107" s="142"/>
      <c r="CD107" s="92"/>
      <c r="CL107" s="147" t="str">
        <f>K107</f>
        <v>[kg CO2 eq/FU]</v>
      </c>
      <c r="CM107" s="147" t="str">
        <f t="shared" ref="CM107:CO107" si="139">L107</f>
        <v>[MJ/FU]</v>
      </c>
      <c r="CN107" s="147" t="str">
        <f t="shared" si="139"/>
        <v>[m³ eq./FU]</v>
      </c>
      <c r="CO107" s="147" t="str">
        <f t="shared" si="139"/>
        <v>[Euro/FU]</v>
      </c>
      <c r="CP107" s="146"/>
      <c r="CR107" s="92"/>
      <c r="CZ107" s="147" t="str">
        <f>Y107</f>
        <v>[kg CO2 eq/FU]</v>
      </c>
      <c r="DA107" s="147" t="str">
        <f t="shared" ref="DA107" si="140">Z107</f>
        <v>[MJ/FU]</v>
      </c>
      <c r="DB107" s="147" t="str">
        <f t="shared" ref="DB107" si="141">AA107</f>
        <v>[m³ eq./FU]</v>
      </c>
      <c r="DC107" s="147" t="str">
        <f t="shared" ref="DC107" si="142">AB107</f>
        <v>[Euro/FU]</v>
      </c>
      <c r="DD107" s="146"/>
      <c r="DF107" s="92"/>
      <c r="DN107" s="147" t="str">
        <f>AM107</f>
        <v>[kg CO2 eq/FU]</v>
      </c>
      <c r="DO107" s="147" t="str">
        <f t="shared" ref="DO107" si="143">AN107</f>
        <v>[MJ/FU]</v>
      </c>
      <c r="DP107" s="147" t="str">
        <f t="shared" ref="DP107" si="144">AO107</f>
        <v>[m³ eq./FU]</v>
      </c>
      <c r="DQ107" s="147" t="str">
        <f t="shared" ref="DQ107" si="145">AP107</f>
        <v>[Euro/FU]</v>
      </c>
      <c r="DR107" s="146"/>
      <c r="EB107" s="147" t="str">
        <f>K107</f>
        <v>[kg CO2 eq/FU]</v>
      </c>
      <c r="EC107" s="147" t="str">
        <f t="shared" ref="EC107:EE107" si="146">L107</f>
        <v>[MJ/FU]</v>
      </c>
      <c r="ED107" s="147" t="str">
        <f t="shared" si="146"/>
        <v>[m³ eq./FU]</v>
      </c>
      <c r="EE107" s="147" t="str">
        <f t="shared" si="146"/>
        <v>[Euro/FU]</v>
      </c>
      <c r="EF107" s="146"/>
      <c r="EP107" s="147" t="str">
        <f>K107</f>
        <v>[kg CO2 eq/FU]</v>
      </c>
      <c r="EQ107" s="147" t="str">
        <f t="shared" ref="EQ107:ES107" si="147">L107</f>
        <v>[MJ/FU]</v>
      </c>
      <c r="ER107" s="147" t="str">
        <f t="shared" si="147"/>
        <v>[m³ eq./FU]</v>
      </c>
      <c r="ES107" s="147" t="str">
        <f t="shared" si="147"/>
        <v>[Euro/FU]</v>
      </c>
      <c r="ET107" s="146"/>
      <c r="EU107" s="146"/>
      <c r="EV107" s="146"/>
      <c r="EW107" s="146"/>
      <c r="EX107" s="146"/>
      <c r="EY107" s="146"/>
      <c r="EZ107" s="146"/>
      <c r="FA107" s="146"/>
      <c r="FB107" s="146"/>
      <c r="FC107" s="146"/>
    </row>
    <row r="108" spans="2:159">
      <c r="B108" s="90" t="str">
        <f t="shared" ref="B108:B115" si="148">B95</f>
        <v>#1: LCA: Processing</v>
      </c>
      <c r="C108" s="90"/>
      <c r="D108" s="90"/>
      <c r="E108" s="90"/>
      <c r="F108" s="90"/>
      <c r="G108" s="90"/>
      <c r="H108" s="90"/>
      <c r="I108" s="90"/>
      <c r="J108" s="90"/>
      <c r="K108" s="188" t="e">
        <f t="shared" ref="K108:N116" si="149">IF(K95&lt;&gt;"",K95/$DU$90,0)</f>
        <v>#DIV/0!</v>
      </c>
      <c r="L108" s="188" t="e">
        <f t="shared" si="149"/>
        <v>#DIV/0!</v>
      </c>
      <c r="M108" s="188" t="e">
        <f t="shared" si="149"/>
        <v>#DIV/0!</v>
      </c>
      <c r="N108" s="188" t="e">
        <f t="shared" si="149"/>
        <v>#DIV/0!</v>
      </c>
      <c r="O108" s="93"/>
      <c r="P108" s="90" t="str">
        <f t="shared" ref="P108:P115" si="150">P95</f>
        <v>#1: LCA: Processing</v>
      </c>
      <c r="Q108" s="90"/>
      <c r="R108" s="90"/>
      <c r="S108" s="90"/>
      <c r="T108" s="90"/>
      <c r="U108" s="90"/>
      <c r="V108" s="90"/>
      <c r="W108" s="90"/>
      <c r="X108" s="90"/>
      <c r="Y108" s="188" t="e">
        <f t="shared" ref="Y108:AB116" si="151">IF(Y95&lt;&gt;"",Y95/$DU$90,0)</f>
        <v>#DIV/0!</v>
      </c>
      <c r="Z108" s="188" t="e">
        <f t="shared" si="151"/>
        <v>#DIV/0!</v>
      </c>
      <c r="AA108" s="188" t="e">
        <f t="shared" si="151"/>
        <v>#DIV/0!</v>
      </c>
      <c r="AB108" s="188" t="e">
        <f t="shared" si="151"/>
        <v>#DIV/0!</v>
      </c>
      <c r="AC108" s="51"/>
      <c r="AD108" s="90" t="str">
        <f t="shared" ref="AD108:AD115" si="152">AD95</f>
        <v>#1: LCA: Processing</v>
      </c>
      <c r="AE108" s="90"/>
      <c r="AF108" s="90"/>
      <c r="AG108" s="90"/>
      <c r="AH108" s="90"/>
      <c r="AI108" s="90"/>
      <c r="AJ108" s="90"/>
      <c r="AK108" s="90"/>
      <c r="AL108" s="90"/>
      <c r="AM108" s="188" t="e">
        <f t="shared" ref="AM108:AP116" si="153">IF(AM95&lt;&gt;"",AM95/$DU$90,0)</f>
        <v>#DIV/0!</v>
      </c>
      <c r="AN108" s="188" t="e">
        <f t="shared" si="153"/>
        <v>#DIV/0!</v>
      </c>
      <c r="AO108" s="188" t="e">
        <f t="shared" si="153"/>
        <v>#DIV/0!</v>
      </c>
      <c r="AP108" s="188" t="e">
        <f t="shared" si="153"/>
        <v>#DIV/0!</v>
      </c>
      <c r="AQ108" s="146"/>
      <c r="AR108" s="90" t="str">
        <f t="shared" ref="AR108:AR115" si="154">AR95</f>
        <v>#1: LCA: Processing</v>
      </c>
      <c r="AS108" s="90"/>
      <c r="AT108" s="90"/>
      <c r="AU108" s="90"/>
      <c r="AV108" s="90"/>
      <c r="AW108" s="90"/>
      <c r="AX108" s="90"/>
      <c r="AY108" s="90"/>
      <c r="AZ108" s="90"/>
      <c r="BA108" s="188" t="e">
        <f t="shared" ref="BA108:BC116" si="155">IF(BA95&lt;&gt;"",BA95/$DU$90,0)</f>
        <v>#DIV/0!</v>
      </c>
      <c r="BB108" s="188" t="e">
        <f t="shared" si="155"/>
        <v>#DIV/0!</v>
      </c>
      <c r="BC108" s="188" t="e">
        <f t="shared" si="155"/>
        <v>#DIV/0!</v>
      </c>
      <c r="BD108" s="142"/>
      <c r="BE108" s="90" t="str">
        <f t="shared" ref="BE108:BE115" si="156">BE95</f>
        <v>#1: LCA: Processing</v>
      </c>
      <c r="BF108" s="90"/>
      <c r="BG108" s="90"/>
      <c r="BH108" s="90"/>
      <c r="BI108" s="90"/>
      <c r="BJ108" s="90"/>
      <c r="BK108" s="90"/>
      <c r="BL108" s="188" t="e">
        <f t="shared" ref="BL108:BN116" si="157">IF(BL95&lt;&gt;"",BL95/$DU$90,0)</f>
        <v>#DIV/0!</v>
      </c>
      <c r="BM108" s="188" t="e">
        <f t="shared" si="157"/>
        <v>#DIV/0!</v>
      </c>
      <c r="BN108" s="188" t="e">
        <f t="shared" si="157"/>
        <v>#DIV/0!</v>
      </c>
      <c r="BO108" s="274"/>
      <c r="BP108" s="90" t="str">
        <f t="shared" ref="BP108:BP115" si="158">BP95</f>
        <v>#1: LCA: Processing</v>
      </c>
      <c r="BQ108" s="90"/>
      <c r="BR108" s="90"/>
      <c r="BS108" s="90"/>
      <c r="BT108" s="90"/>
      <c r="BU108" s="90"/>
      <c r="BV108" s="90"/>
      <c r="BW108" s="90"/>
      <c r="BX108" s="90"/>
      <c r="BY108" s="188" t="e">
        <f t="shared" ref="BY108:CA116" si="159">IF(BY95&lt;&gt;"",BY95/$DU$90,0)</f>
        <v>#DIV/0!</v>
      </c>
      <c r="BZ108" s="188" t="e">
        <f t="shared" si="159"/>
        <v>#DIV/0!</v>
      </c>
      <c r="CA108" s="188" t="e">
        <f t="shared" si="159"/>
        <v>#DIV/0!</v>
      </c>
      <c r="CB108" s="142"/>
      <c r="CC108" s="90" t="str">
        <f t="shared" ref="CC108:CC115" si="160">CC95</f>
        <v>#1: LCA: Processing</v>
      </c>
      <c r="CD108" s="90"/>
      <c r="CE108" s="90"/>
      <c r="CF108" s="90"/>
      <c r="CG108" s="90"/>
      <c r="CH108" s="90"/>
      <c r="CI108" s="90"/>
      <c r="CJ108" s="90"/>
      <c r="CK108" s="90"/>
      <c r="CL108" s="188" t="e">
        <f t="shared" ref="CL108:CO116" si="161">IF(CL95&lt;&gt;"",CL95/$DU$90,0)</f>
        <v>#DIV/0!</v>
      </c>
      <c r="CM108" s="188" t="e">
        <f t="shared" si="161"/>
        <v>#DIV/0!</v>
      </c>
      <c r="CN108" s="188" t="e">
        <f t="shared" si="161"/>
        <v>#DIV/0!</v>
      </c>
      <c r="CO108" s="188" t="e">
        <f t="shared" si="161"/>
        <v>#DIV/0!</v>
      </c>
      <c r="CP108" s="146"/>
      <c r="CQ108" s="90" t="str">
        <f t="shared" ref="CQ108:CQ115" si="162">CQ95</f>
        <v>#1: LCA: Processing</v>
      </c>
      <c r="CR108" s="90"/>
      <c r="CS108" s="90"/>
      <c r="CT108" s="90"/>
      <c r="CU108" s="90"/>
      <c r="CV108" s="90"/>
      <c r="CW108" s="90"/>
      <c r="CX108" s="90"/>
      <c r="CY108" s="90"/>
      <c r="CZ108" s="188" t="e">
        <f t="shared" ref="CZ108:DC116" si="163">IF(CZ95&lt;&gt;"",CZ95/$DU$90,0)</f>
        <v>#DIV/0!</v>
      </c>
      <c r="DA108" s="188" t="e">
        <f t="shared" si="163"/>
        <v>#DIV/0!</v>
      </c>
      <c r="DB108" s="188" t="e">
        <f t="shared" si="163"/>
        <v>#DIV/0!</v>
      </c>
      <c r="DC108" s="188" t="e">
        <f t="shared" si="163"/>
        <v>#DIV/0!</v>
      </c>
      <c r="DD108" s="146"/>
      <c r="DE108" s="90" t="str">
        <f t="shared" ref="DE108:DE115" si="164">DE95</f>
        <v>#1: LCA: Processing</v>
      </c>
      <c r="DF108" s="90"/>
      <c r="DG108" s="90"/>
      <c r="DH108" s="90"/>
      <c r="DI108" s="90"/>
      <c r="DJ108" s="90"/>
      <c r="DK108" s="90"/>
      <c r="DL108" s="90"/>
      <c r="DM108" s="90"/>
      <c r="DN108" s="188" t="e">
        <f t="shared" ref="DN108:DQ116" si="165">IF(DN95&lt;&gt;"",DN95/$DU$90,0)</f>
        <v>#DIV/0!</v>
      </c>
      <c r="DO108" s="188" t="e">
        <f t="shared" si="165"/>
        <v>#DIV/0!</v>
      </c>
      <c r="DP108" s="188" t="e">
        <f t="shared" si="165"/>
        <v>#DIV/0!</v>
      </c>
      <c r="DQ108" s="188" t="e">
        <f t="shared" si="165"/>
        <v>#DIV/0!</v>
      </c>
      <c r="DR108" s="146"/>
      <c r="DS108" s="90" t="str">
        <f t="shared" ref="DS108:DS115" si="166">DS95</f>
        <v>#1: LCA: Processing</v>
      </c>
      <c r="DT108" s="90"/>
      <c r="DU108" s="90"/>
      <c r="DV108" s="90"/>
      <c r="DW108" s="90"/>
      <c r="DX108" s="90"/>
      <c r="DY108" s="90"/>
      <c r="DZ108" s="90"/>
      <c r="EA108" s="90"/>
      <c r="EB108" s="188" t="e">
        <f t="shared" ref="EB108:EE116" si="167">IF(EB95&lt;&gt;"",EB95/$DU$90,0)</f>
        <v>#DIV/0!</v>
      </c>
      <c r="EC108" s="188" t="e">
        <f t="shared" si="167"/>
        <v>#DIV/0!</v>
      </c>
      <c r="ED108" s="188" t="e">
        <f t="shared" si="167"/>
        <v>#DIV/0!</v>
      </c>
      <c r="EE108" s="188" t="e">
        <f t="shared" si="167"/>
        <v>#DIV/0!</v>
      </c>
      <c r="EF108" s="146"/>
      <c r="EG108" s="90" t="str">
        <f t="shared" ref="EG108:EG115" si="168">EG95</f>
        <v>#1: LCA: Processing</v>
      </c>
      <c r="EH108" s="90"/>
      <c r="EI108" s="90"/>
      <c r="EJ108" s="90"/>
      <c r="EK108" s="90"/>
      <c r="EL108" s="90"/>
      <c r="EM108" s="90"/>
      <c r="EN108" s="90"/>
      <c r="EO108" s="90"/>
      <c r="EP108" s="188" t="e">
        <f t="shared" ref="EP108:ES116" si="169">IF(EP95&lt;&gt;"",EP95/$DU$90,0)</f>
        <v>#DIV/0!</v>
      </c>
      <c r="EQ108" s="188" t="e">
        <f t="shared" si="169"/>
        <v>#DIV/0!</v>
      </c>
      <c r="ER108" s="188" t="e">
        <f t="shared" si="169"/>
        <v>#DIV/0!</v>
      </c>
      <c r="ES108" s="188" t="e">
        <f t="shared" si="169"/>
        <v>#DIV/0!</v>
      </c>
      <c r="ET108" s="146"/>
      <c r="EU108" s="146"/>
      <c r="EV108" s="146"/>
      <c r="EW108" s="146"/>
      <c r="EX108" s="146"/>
      <c r="EY108" s="146"/>
      <c r="EZ108" s="146"/>
      <c r="FA108" s="146"/>
      <c r="FB108" s="146"/>
      <c r="FC108" s="146"/>
    </row>
    <row r="109" spans="2:159">
      <c r="B109" s="90" t="str">
        <f t="shared" si="148"/>
        <v>#2: LCA: Packaging</v>
      </c>
      <c r="C109" s="90"/>
      <c r="D109" s="90"/>
      <c r="E109" s="90"/>
      <c r="F109" s="90"/>
      <c r="G109" s="90"/>
      <c r="H109" s="90"/>
      <c r="I109" s="90"/>
      <c r="J109" s="90"/>
      <c r="K109" s="188" t="e">
        <f t="shared" si="149"/>
        <v>#DIV/0!</v>
      </c>
      <c r="L109" s="188" t="e">
        <f t="shared" si="149"/>
        <v>#DIV/0!</v>
      </c>
      <c r="M109" s="188" t="e">
        <f t="shared" si="149"/>
        <v>#DIV/0!</v>
      </c>
      <c r="N109" s="188" t="e">
        <f t="shared" si="149"/>
        <v>#DIV/0!</v>
      </c>
      <c r="O109" s="93"/>
      <c r="P109" s="90" t="str">
        <f t="shared" si="150"/>
        <v>#2: LCA: Packaging</v>
      </c>
      <c r="Q109" s="90"/>
      <c r="R109" s="90"/>
      <c r="S109" s="90"/>
      <c r="T109" s="90"/>
      <c r="U109" s="90"/>
      <c r="V109" s="90"/>
      <c r="W109" s="90"/>
      <c r="X109" s="90"/>
      <c r="Y109" s="188" t="e">
        <f t="shared" si="151"/>
        <v>#DIV/0!</v>
      </c>
      <c r="Z109" s="188" t="e">
        <f t="shared" si="151"/>
        <v>#DIV/0!</v>
      </c>
      <c r="AA109" s="188" t="e">
        <f t="shared" si="151"/>
        <v>#DIV/0!</v>
      </c>
      <c r="AB109" s="188" t="e">
        <f t="shared" si="151"/>
        <v>#DIV/0!</v>
      </c>
      <c r="AC109" s="51"/>
      <c r="AD109" s="90" t="str">
        <f t="shared" si="152"/>
        <v>#2: LCA: Packaging</v>
      </c>
      <c r="AE109" s="90"/>
      <c r="AF109" s="90"/>
      <c r="AG109" s="90"/>
      <c r="AH109" s="90"/>
      <c r="AI109" s="90"/>
      <c r="AJ109" s="90"/>
      <c r="AK109" s="90"/>
      <c r="AL109" s="90"/>
      <c r="AM109" s="188" t="e">
        <f t="shared" si="153"/>
        <v>#DIV/0!</v>
      </c>
      <c r="AN109" s="188" t="e">
        <f t="shared" si="153"/>
        <v>#DIV/0!</v>
      </c>
      <c r="AO109" s="188" t="e">
        <f t="shared" si="153"/>
        <v>#DIV/0!</v>
      </c>
      <c r="AP109" s="188" t="e">
        <f t="shared" si="153"/>
        <v>#DIV/0!</v>
      </c>
      <c r="AQ109" s="146"/>
      <c r="AR109" s="90" t="str">
        <f t="shared" si="154"/>
        <v>#2: LCA: Packaging</v>
      </c>
      <c r="AS109" s="90"/>
      <c r="AT109" s="90"/>
      <c r="AU109" s="90"/>
      <c r="AV109" s="90"/>
      <c r="AW109" s="90"/>
      <c r="AX109" s="90"/>
      <c r="AY109" s="90"/>
      <c r="AZ109" s="90"/>
      <c r="BA109" s="188" t="e">
        <f t="shared" si="155"/>
        <v>#DIV/0!</v>
      </c>
      <c r="BB109" s="188" t="e">
        <f t="shared" si="155"/>
        <v>#DIV/0!</v>
      </c>
      <c r="BC109" s="188" t="e">
        <f t="shared" si="155"/>
        <v>#DIV/0!</v>
      </c>
      <c r="BD109" s="142"/>
      <c r="BE109" s="90" t="str">
        <f t="shared" si="156"/>
        <v>#2: LCA: Packaging</v>
      </c>
      <c r="BF109" s="90"/>
      <c r="BG109" s="90"/>
      <c r="BH109" s="90"/>
      <c r="BI109" s="90"/>
      <c r="BJ109" s="90"/>
      <c r="BK109" s="90"/>
      <c r="BL109" s="188" t="e">
        <f t="shared" si="157"/>
        <v>#DIV/0!</v>
      </c>
      <c r="BM109" s="188" t="e">
        <f t="shared" si="157"/>
        <v>#DIV/0!</v>
      </c>
      <c r="BN109" s="188" t="e">
        <f t="shared" si="157"/>
        <v>#DIV/0!</v>
      </c>
      <c r="BO109" s="274"/>
      <c r="BP109" s="90" t="str">
        <f t="shared" si="158"/>
        <v>#2: LCA: Packaging</v>
      </c>
      <c r="BQ109" s="90"/>
      <c r="BR109" s="90"/>
      <c r="BS109" s="90"/>
      <c r="BT109" s="90"/>
      <c r="BU109" s="90"/>
      <c r="BV109" s="90"/>
      <c r="BW109" s="90"/>
      <c r="BX109" s="90"/>
      <c r="BY109" s="188" t="e">
        <f t="shared" si="159"/>
        <v>#DIV/0!</v>
      </c>
      <c r="BZ109" s="188" t="e">
        <f t="shared" si="159"/>
        <v>#DIV/0!</v>
      </c>
      <c r="CA109" s="188" t="e">
        <f t="shared" si="159"/>
        <v>#DIV/0!</v>
      </c>
      <c r="CB109" s="142"/>
      <c r="CC109" s="90" t="str">
        <f t="shared" si="160"/>
        <v>#2: LCA: Packaging</v>
      </c>
      <c r="CD109" s="90"/>
      <c r="CE109" s="90"/>
      <c r="CF109" s="90"/>
      <c r="CG109" s="90"/>
      <c r="CH109" s="90"/>
      <c r="CI109" s="90"/>
      <c r="CJ109" s="90"/>
      <c r="CK109" s="90"/>
      <c r="CL109" s="188" t="e">
        <f t="shared" si="161"/>
        <v>#DIV/0!</v>
      </c>
      <c r="CM109" s="188" t="e">
        <f t="shared" si="161"/>
        <v>#DIV/0!</v>
      </c>
      <c r="CN109" s="188" t="e">
        <f t="shared" si="161"/>
        <v>#DIV/0!</v>
      </c>
      <c r="CO109" s="188" t="e">
        <f t="shared" si="161"/>
        <v>#DIV/0!</v>
      </c>
      <c r="CP109" s="146"/>
      <c r="CQ109" s="90" t="str">
        <f t="shared" si="162"/>
        <v>#2: LCA: Packaging</v>
      </c>
      <c r="CR109" s="90"/>
      <c r="CS109" s="90"/>
      <c r="CT109" s="90"/>
      <c r="CU109" s="90"/>
      <c r="CV109" s="90"/>
      <c r="CW109" s="90"/>
      <c r="CX109" s="90"/>
      <c r="CY109" s="90"/>
      <c r="CZ109" s="188" t="e">
        <f t="shared" si="163"/>
        <v>#DIV/0!</v>
      </c>
      <c r="DA109" s="188" t="e">
        <f t="shared" si="163"/>
        <v>#DIV/0!</v>
      </c>
      <c r="DB109" s="188" t="e">
        <f t="shared" si="163"/>
        <v>#DIV/0!</v>
      </c>
      <c r="DC109" s="188" t="e">
        <f t="shared" si="163"/>
        <v>#DIV/0!</v>
      </c>
      <c r="DD109" s="146"/>
      <c r="DE109" s="90" t="str">
        <f t="shared" si="164"/>
        <v>#2: LCA: Packaging</v>
      </c>
      <c r="DF109" s="90"/>
      <c r="DG109" s="90"/>
      <c r="DH109" s="90"/>
      <c r="DI109" s="90"/>
      <c r="DJ109" s="90"/>
      <c r="DK109" s="90"/>
      <c r="DL109" s="90"/>
      <c r="DM109" s="90"/>
      <c r="DN109" s="188" t="e">
        <f t="shared" si="165"/>
        <v>#DIV/0!</v>
      </c>
      <c r="DO109" s="188" t="e">
        <f t="shared" si="165"/>
        <v>#DIV/0!</v>
      </c>
      <c r="DP109" s="188" t="e">
        <f t="shared" si="165"/>
        <v>#DIV/0!</v>
      </c>
      <c r="DQ109" s="188" t="e">
        <f t="shared" si="165"/>
        <v>#DIV/0!</v>
      </c>
      <c r="DR109" s="146"/>
      <c r="DS109" s="90" t="str">
        <f t="shared" si="166"/>
        <v>#2: LCA: Packaging</v>
      </c>
      <c r="DT109" s="90"/>
      <c r="DU109" s="90"/>
      <c r="DV109" s="90"/>
      <c r="DW109" s="90"/>
      <c r="DX109" s="90"/>
      <c r="DY109" s="90"/>
      <c r="DZ109" s="90"/>
      <c r="EA109" s="90"/>
      <c r="EB109" s="188" t="e">
        <f t="shared" si="167"/>
        <v>#DIV/0!</v>
      </c>
      <c r="EC109" s="188" t="e">
        <f t="shared" si="167"/>
        <v>#DIV/0!</v>
      </c>
      <c r="ED109" s="188" t="e">
        <f t="shared" si="167"/>
        <v>#DIV/0!</v>
      </c>
      <c r="EE109" s="188" t="e">
        <f t="shared" si="167"/>
        <v>#DIV/0!</v>
      </c>
      <c r="EF109" s="146"/>
      <c r="EG109" s="90" t="str">
        <f t="shared" si="168"/>
        <v>#2: LCA: Packaging</v>
      </c>
      <c r="EH109" s="90"/>
      <c r="EI109" s="90"/>
      <c r="EJ109" s="90"/>
      <c r="EK109" s="90"/>
      <c r="EL109" s="90"/>
      <c r="EM109" s="90"/>
      <c r="EN109" s="90"/>
      <c r="EO109" s="90"/>
      <c r="EP109" s="188" t="e">
        <f t="shared" si="169"/>
        <v>#DIV/0!</v>
      </c>
      <c r="EQ109" s="188" t="e">
        <f t="shared" si="169"/>
        <v>#DIV/0!</v>
      </c>
      <c r="ER109" s="188" t="e">
        <f t="shared" si="169"/>
        <v>#DIV/0!</v>
      </c>
      <c r="ES109" s="188" t="e">
        <f t="shared" si="169"/>
        <v>#DIV/0!</v>
      </c>
      <c r="ET109" s="146"/>
      <c r="EU109" s="146"/>
      <c r="EV109" s="146"/>
      <c r="EW109" s="146"/>
      <c r="EX109" s="146"/>
      <c r="EY109" s="146"/>
      <c r="EZ109" s="146"/>
      <c r="FA109" s="146"/>
      <c r="FB109" s="146"/>
      <c r="FC109" s="146"/>
    </row>
    <row r="110" spans="2:159">
      <c r="B110" s="90" t="str">
        <f t="shared" si="148"/>
        <v>#3: LCA: Transport</v>
      </c>
      <c r="C110" s="90"/>
      <c r="D110" s="90"/>
      <c r="E110" s="90"/>
      <c r="F110" s="90"/>
      <c r="G110" s="90"/>
      <c r="H110" s="90"/>
      <c r="I110" s="90"/>
      <c r="J110" s="90"/>
      <c r="K110" s="188" t="e">
        <f t="shared" si="149"/>
        <v>#DIV/0!</v>
      </c>
      <c r="L110" s="188" t="e">
        <f t="shared" si="149"/>
        <v>#DIV/0!</v>
      </c>
      <c r="M110" s="188" t="e">
        <f t="shared" si="149"/>
        <v>#DIV/0!</v>
      </c>
      <c r="N110" s="188" t="e">
        <f t="shared" si="149"/>
        <v>#DIV/0!</v>
      </c>
      <c r="O110" s="93"/>
      <c r="P110" s="90" t="str">
        <f t="shared" si="150"/>
        <v>#3: LCA: Transport</v>
      </c>
      <c r="Q110" s="90"/>
      <c r="R110" s="90"/>
      <c r="S110" s="90"/>
      <c r="T110" s="90"/>
      <c r="U110" s="90"/>
      <c r="V110" s="90"/>
      <c r="W110" s="90"/>
      <c r="X110" s="90"/>
      <c r="Y110" s="188" t="e">
        <f t="shared" si="151"/>
        <v>#DIV/0!</v>
      </c>
      <c r="Z110" s="188" t="e">
        <f t="shared" si="151"/>
        <v>#DIV/0!</v>
      </c>
      <c r="AA110" s="188" t="e">
        <f t="shared" si="151"/>
        <v>#DIV/0!</v>
      </c>
      <c r="AB110" s="188" t="e">
        <f t="shared" si="151"/>
        <v>#DIV/0!</v>
      </c>
      <c r="AC110" s="51"/>
      <c r="AD110" s="90" t="str">
        <f t="shared" si="152"/>
        <v>#3: LCA: Transport</v>
      </c>
      <c r="AE110" s="90"/>
      <c r="AF110" s="90"/>
      <c r="AG110" s="90"/>
      <c r="AH110" s="90"/>
      <c r="AI110" s="90"/>
      <c r="AJ110" s="90"/>
      <c r="AK110" s="90"/>
      <c r="AL110" s="90"/>
      <c r="AM110" s="188" t="e">
        <f t="shared" si="153"/>
        <v>#DIV/0!</v>
      </c>
      <c r="AN110" s="188" t="e">
        <f t="shared" si="153"/>
        <v>#DIV/0!</v>
      </c>
      <c r="AO110" s="188" t="e">
        <f t="shared" si="153"/>
        <v>#DIV/0!</v>
      </c>
      <c r="AP110" s="188" t="e">
        <f t="shared" si="153"/>
        <v>#DIV/0!</v>
      </c>
      <c r="AQ110" s="146"/>
      <c r="AR110" s="90" t="str">
        <f t="shared" si="154"/>
        <v>#3: LCA: Transport</v>
      </c>
      <c r="AS110" s="90"/>
      <c r="AT110" s="90"/>
      <c r="AU110" s="90"/>
      <c r="AV110" s="90"/>
      <c r="AW110" s="90"/>
      <c r="AX110" s="90"/>
      <c r="AY110" s="90"/>
      <c r="AZ110" s="90"/>
      <c r="BA110" s="188" t="e">
        <f t="shared" si="155"/>
        <v>#DIV/0!</v>
      </c>
      <c r="BB110" s="188" t="e">
        <f t="shared" si="155"/>
        <v>#DIV/0!</v>
      </c>
      <c r="BC110" s="188" t="e">
        <f t="shared" si="155"/>
        <v>#DIV/0!</v>
      </c>
      <c r="BD110" s="142"/>
      <c r="BE110" s="90" t="str">
        <f t="shared" si="156"/>
        <v>#3: LCA: Transport</v>
      </c>
      <c r="BF110" s="90"/>
      <c r="BG110" s="90"/>
      <c r="BH110" s="90"/>
      <c r="BI110" s="90"/>
      <c r="BJ110" s="90"/>
      <c r="BK110" s="90"/>
      <c r="BL110" s="188" t="e">
        <f t="shared" si="157"/>
        <v>#DIV/0!</v>
      </c>
      <c r="BM110" s="188" t="e">
        <f t="shared" si="157"/>
        <v>#DIV/0!</v>
      </c>
      <c r="BN110" s="188" t="e">
        <f t="shared" si="157"/>
        <v>#DIV/0!</v>
      </c>
      <c r="BO110" s="274"/>
      <c r="BP110" s="90" t="str">
        <f t="shared" si="158"/>
        <v>#3: LCA: Transport</v>
      </c>
      <c r="BQ110" s="90"/>
      <c r="BR110" s="90"/>
      <c r="BS110" s="90"/>
      <c r="BT110" s="90"/>
      <c r="BU110" s="90"/>
      <c r="BV110" s="90"/>
      <c r="BW110" s="90"/>
      <c r="BX110" s="90"/>
      <c r="BY110" s="188" t="e">
        <f t="shared" si="159"/>
        <v>#DIV/0!</v>
      </c>
      <c r="BZ110" s="188" t="e">
        <f t="shared" si="159"/>
        <v>#DIV/0!</v>
      </c>
      <c r="CA110" s="188" t="e">
        <f t="shared" si="159"/>
        <v>#DIV/0!</v>
      </c>
      <c r="CB110" s="142"/>
      <c r="CC110" s="90" t="str">
        <f t="shared" si="160"/>
        <v>#3: LCA: Transport</v>
      </c>
      <c r="CD110" s="90"/>
      <c r="CE110" s="90"/>
      <c r="CF110" s="90"/>
      <c r="CG110" s="90"/>
      <c r="CH110" s="90"/>
      <c r="CI110" s="90"/>
      <c r="CJ110" s="90"/>
      <c r="CK110" s="90"/>
      <c r="CL110" s="188" t="e">
        <f t="shared" si="161"/>
        <v>#DIV/0!</v>
      </c>
      <c r="CM110" s="188" t="e">
        <f t="shared" si="161"/>
        <v>#DIV/0!</v>
      </c>
      <c r="CN110" s="188" t="e">
        <f t="shared" si="161"/>
        <v>#DIV/0!</v>
      </c>
      <c r="CO110" s="188" t="e">
        <f t="shared" si="161"/>
        <v>#DIV/0!</v>
      </c>
      <c r="CP110" s="146"/>
      <c r="CQ110" s="90" t="str">
        <f t="shared" si="162"/>
        <v>#3: LCA: Transport</v>
      </c>
      <c r="CR110" s="90"/>
      <c r="CS110" s="90"/>
      <c r="CT110" s="90"/>
      <c r="CU110" s="90"/>
      <c r="CV110" s="90"/>
      <c r="CW110" s="90"/>
      <c r="CX110" s="90"/>
      <c r="CY110" s="90"/>
      <c r="CZ110" s="188" t="e">
        <f t="shared" si="163"/>
        <v>#DIV/0!</v>
      </c>
      <c r="DA110" s="188" t="e">
        <f t="shared" si="163"/>
        <v>#DIV/0!</v>
      </c>
      <c r="DB110" s="188" t="e">
        <f t="shared" si="163"/>
        <v>#DIV/0!</v>
      </c>
      <c r="DC110" s="188" t="e">
        <f t="shared" si="163"/>
        <v>#DIV/0!</v>
      </c>
      <c r="DD110" s="146"/>
      <c r="DE110" s="90" t="str">
        <f t="shared" si="164"/>
        <v>#3: LCA: Transport</v>
      </c>
      <c r="DF110" s="90"/>
      <c r="DG110" s="90"/>
      <c r="DH110" s="90"/>
      <c r="DI110" s="90"/>
      <c r="DJ110" s="90"/>
      <c r="DK110" s="90"/>
      <c r="DL110" s="90"/>
      <c r="DM110" s="90"/>
      <c r="DN110" s="188" t="e">
        <f t="shared" si="165"/>
        <v>#DIV/0!</v>
      </c>
      <c r="DO110" s="188" t="e">
        <f t="shared" si="165"/>
        <v>#DIV/0!</v>
      </c>
      <c r="DP110" s="188" t="e">
        <f t="shared" si="165"/>
        <v>#DIV/0!</v>
      </c>
      <c r="DQ110" s="188" t="e">
        <f t="shared" si="165"/>
        <v>#DIV/0!</v>
      </c>
      <c r="DR110" s="146"/>
      <c r="DS110" s="90" t="str">
        <f t="shared" si="166"/>
        <v>#3: LCA: Transport</v>
      </c>
      <c r="DT110" s="90"/>
      <c r="DU110" s="90"/>
      <c r="DV110" s="90"/>
      <c r="DW110" s="90"/>
      <c r="DX110" s="90"/>
      <c r="DY110" s="90"/>
      <c r="DZ110" s="90"/>
      <c r="EA110" s="90"/>
      <c r="EB110" s="188" t="e">
        <f t="shared" si="167"/>
        <v>#DIV/0!</v>
      </c>
      <c r="EC110" s="188" t="e">
        <f t="shared" si="167"/>
        <v>#DIV/0!</v>
      </c>
      <c r="ED110" s="188" t="e">
        <f t="shared" si="167"/>
        <v>#DIV/0!</v>
      </c>
      <c r="EE110" s="188" t="e">
        <f t="shared" si="167"/>
        <v>#DIV/0!</v>
      </c>
      <c r="EF110" s="146"/>
      <c r="EG110" s="90" t="str">
        <f t="shared" si="168"/>
        <v>#3: LCA: Transport</v>
      </c>
      <c r="EH110" s="90"/>
      <c r="EI110" s="90"/>
      <c r="EJ110" s="90"/>
      <c r="EK110" s="90"/>
      <c r="EL110" s="90"/>
      <c r="EM110" s="90"/>
      <c r="EN110" s="90"/>
      <c r="EO110" s="90"/>
      <c r="EP110" s="188" t="e">
        <f t="shared" si="169"/>
        <v>#DIV/0!</v>
      </c>
      <c r="EQ110" s="188" t="e">
        <f t="shared" si="169"/>
        <v>#DIV/0!</v>
      </c>
      <c r="ER110" s="188" t="e">
        <f t="shared" si="169"/>
        <v>#DIV/0!</v>
      </c>
      <c r="ES110" s="188" t="e">
        <f t="shared" si="169"/>
        <v>#DIV/0!</v>
      </c>
      <c r="ET110" s="146"/>
      <c r="EU110" s="146"/>
      <c r="EV110" s="146"/>
      <c r="EW110" s="146"/>
      <c r="EX110" s="146"/>
      <c r="EY110" s="146"/>
      <c r="EZ110" s="146"/>
      <c r="FA110" s="146"/>
      <c r="FB110" s="146"/>
      <c r="FC110" s="146"/>
    </row>
    <row r="111" spans="2:159">
      <c r="B111" s="90" t="str">
        <f t="shared" si="148"/>
        <v>#4: LCA: Water use</v>
      </c>
      <c r="C111" s="90"/>
      <c r="D111" s="90"/>
      <c r="E111" s="90"/>
      <c r="F111" s="90"/>
      <c r="G111" s="90"/>
      <c r="H111" s="90"/>
      <c r="I111" s="90"/>
      <c r="J111" s="90"/>
      <c r="K111" s="188" t="e">
        <f t="shared" si="149"/>
        <v>#DIV/0!</v>
      </c>
      <c r="L111" s="188" t="e">
        <f t="shared" si="149"/>
        <v>#DIV/0!</v>
      </c>
      <c r="M111" s="188" t="e">
        <f t="shared" si="149"/>
        <v>#DIV/0!</v>
      </c>
      <c r="N111" s="188" t="e">
        <f t="shared" si="149"/>
        <v>#DIV/0!</v>
      </c>
      <c r="O111" s="93"/>
      <c r="P111" s="90" t="str">
        <f t="shared" si="150"/>
        <v>#4: LCA: Water use</v>
      </c>
      <c r="Q111" s="90"/>
      <c r="R111" s="90"/>
      <c r="S111" s="90"/>
      <c r="T111" s="90"/>
      <c r="U111" s="90"/>
      <c r="V111" s="90"/>
      <c r="W111" s="90"/>
      <c r="X111" s="90"/>
      <c r="Y111" s="188" t="e">
        <f t="shared" si="151"/>
        <v>#DIV/0!</v>
      </c>
      <c r="Z111" s="188" t="e">
        <f t="shared" si="151"/>
        <v>#DIV/0!</v>
      </c>
      <c r="AA111" s="188" t="e">
        <f t="shared" si="151"/>
        <v>#DIV/0!</v>
      </c>
      <c r="AB111" s="188" t="e">
        <f t="shared" si="151"/>
        <v>#DIV/0!</v>
      </c>
      <c r="AC111" s="51"/>
      <c r="AD111" s="90" t="str">
        <f t="shared" si="152"/>
        <v>#4: LCA: Water use</v>
      </c>
      <c r="AE111" s="90"/>
      <c r="AF111" s="90"/>
      <c r="AG111" s="90"/>
      <c r="AH111" s="90"/>
      <c r="AI111" s="90"/>
      <c r="AJ111" s="90"/>
      <c r="AK111" s="90"/>
      <c r="AL111" s="90"/>
      <c r="AM111" s="188" t="e">
        <f t="shared" si="153"/>
        <v>#DIV/0!</v>
      </c>
      <c r="AN111" s="188" t="e">
        <f t="shared" si="153"/>
        <v>#DIV/0!</v>
      </c>
      <c r="AO111" s="188" t="e">
        <f t="shared" si="153"/>
        <v>#DIV/0!</v>
      </c>
      <c r="AP111" s="188" t="e">
        <f t="shared" si="153"/>
        <v>#DIV/0!</v>
      </c>
      <c r="AQ111" s="146"/>
      <c r="AR111" s="90" t="str">
        <f t="shared" si="154"/>
        <v>#4: LCA: Water use</v>
      </c>
      <c r="AS111" s="90"/>
      <c r="AT111" s="90"/>
      <c r="AU111" s="90"/>
      <c r="AV111" s="90"/>
      <c r="AW111" s="90"/>
      <c r="AX111" s="90"/>
      <c r="AY111" s="90"/>
      <c r="AZ111" s="90"/>
      <c r="BA111" s="188" t="e">
        <f t="shared" si="155"/>
        <v>#DIV/0!</v>
      </c>
      <c r="BB111" s="188" t="e">
        <f t="shared" si="155"/>
        <v>#DIV/0!</v>
      </c>
      <c r="BC111" s="188" t="e">
        <f t="shared" si="155"/>
        <v>#DIV/0!</v>
      </c>
      <c r="BD111" s="142"/>
      <c r="BE111" s="90" t="str">
        <f t="shared" si="156"/>
        <v>#4: LCA: Water use</v>
      </c>
      <c r="BF111" s="90"/>
      <c r="BG111" s="90"/>
      <c r="BH111" s="90"/>
      <c r="BI111" s="90"/>
      <c r="BJ111" s="90"/>
      <c r="BK111" s="90"/>
      <c r="BL111" s="188" t="e">
        <f t="shared" si="157"/>
        <v>#DIV/0!</v>
      </c>
      <c r="BM111" s="188" t="e">
        <f t="shared" si="157"/>
        <v>#DIV/0!</v>
      </c>
      <c r="BN111" s="188" t="e">
        <f t="shared" si="157"/>
        <v>#DIV/0!</v>
      </c>
      <c r="BO111" s="274"/>
      <c r="BP111" s="90" t="str">
        <f t="shared" si="158"/>
        <v>#4: LCA: Water use</v>
      </c>
      <c r="BQ111" s="90"/>
      <c r="BR111" s="90"/>
      <c r="BS111" s="90"/>
      <c r="BT111" s="90"/>
      <c r="BU111" s="90"/>
      <c r="BV111" s="90"/>
      <c r="BW111" s="90"/>
      <c r="BX111" s="90"/>
      <c r="BY111" s="188" t="e">
        <f t="shared" si="159"/>
        <v>#DIV/0!</v>
      </c>
      <c r="BZ111" s="188" t="e">
        <f t="shared" si="159"/>
        <v>#DIV/0!</v>
      </c>
      <c r="CA111" s="188" t="e">
        <f t="shared" si="159"/>
        <v>#DIV/0!</v>
      </c>
      <c r="CB111" s="142"/>
      <c r="CC111" s="90" t="str">
        <f t="shared" si="160"/>
        <v>#4: LCA: Water use</v>
      </c>
      <c r="CD111" s="90"/>
      <c r="CE111" s="90"/>
      <c r="CF111" s="90"/>
      <c r="CG111" s="90"/>
      <c r="CH111" s="90"/>
      <c r="CI111" s="90"/>
      <c r="CJ111" s="90"/>
      <c r="CK111" s="90"/>
      <c r="CL111" s="188" t="e">
        <f t="shared" si="161"/>
        <v>#DIV/0!</v>
      </c>
      <c r="CM111" s="188" t="e">
        <f t="shared" si="161"/>
        <v>#DIV/0!</v>
      </c>
      <c r="CN111" s="188" t="e">
        <f t="shared" si="161"/>
        <v>#DIV/0!</v>
      </c>
      <c r="CO111" s="188" t="e">
        <f t="shared" si="161"/>
        <v>#DIV/0!</v>
      </c>
      <c r="CP111" s="146"/>
      <c r="CQ111" s="90" t="str">
        <f t="shared" si="162"/>
        <v>#4: LCA: Water use</v>
      </c>
      <c r="CR111" s="90"/>
      <c r="CS111" s="90"/>
      <c r="CT111" s="90"/>
      <c r="CU111" s="90"/>
      <c r="CV111" s="90"/>
      <c r="CW111" s="90"/>
      <c r="CX111" s="90"/>
      <c r="CY111" s="90"/>
      <c r="CZ111" s="188" t="e">
        <f t="shared" si="163"/>
        <v>#DIV/0!</v>
      </c>
      <c r="DA111" s="188" t="e">
        <f t="shared" si="163"/>
        <v>#DIV/0!</v>
      </c>
      <c r="DB111" s="188" t="e">
        <f t="shared" si="163"/>
        <v>#DIV/0!</v>
      </c>
      <c r="DC111" s="188" t="e">
        <f t="shared" si="163"/>
        <v>#DIV/0!</v>
      </c>
      <c r="DD111" s="146"/>
      <c r="DE111" s="90" t="str">
        <f t="shared" si="164"/>
        <v>#4: LCA: Water use</v>
      </c>
      <c r="DF111" s="90"/>
      <c r="DG111" s="90"/>
      <c r="DH111" s="90"/>
      <c r="DI111" s="90"/>
      <c r="DJ111" s="90"/>
      <c r="DK111" s="90"/>
      <c r="DL111" s="90"/>
      <c r="DM111" s="90"/>
      <c r="DN111" s="188" t="e">
        <f t="shared" si="165"/>
        <v>#DIV/0!</v>
      </c>
      <c r="DO111" s="188" t="e">
        <f t="shared" si="165"/>
        <v>#DIV/0!</v>
      </c>
      <c r="DP111" s="188" t="e">
        <f t="shared" si="165"/>
        <v>#DIV/0!</v>
      </c>
      <c r="DQ111" s="188" t="e">
        <f t="shared" si="165"/>
        <v>#DIV/0!</v>
      </c>
      <c r="DR111" s="146"/>
      <c r="DS111" s="90" t="str">
        <f t="shared" si="166"/>
        <v>#4: LCA: Water use</v>
      </c>
      <c r="DT111" s="90"/>
      <c r="DU111" s="90"/>
      <c r="DV111" s="90"/>
      <c r="DW111" s="90"/>
      <c r="DX111" s="90"/>
      <c r="DY111" s="90"/>
      <c r="DZ111" s="90"/>
      <c r="EA111" s="90"/>
      <c r="EB111" s="188" t="e">
        <f t="shared" si="167"/>
        <v>#DIV/0!</v>
      </c>
      <c r="EC111" s="188" t="e">
        <f t="shared" si="167"/>
        <v>#DIV/0!</v>
      </c>
      <c r="ED111" s="188" t="e">
        <f t="shared" si="167"/>
        <v>#DIV/0!</v>
      </c>
      <c r="EE111" s="188" t="e">
        <f t="shared" si="167"/>
        <v>#DIV/0!</v>
      </c>
      <c r="EF111" s="146"/>
      <c r="EG111" s="90" t="str">
        <f t="shared" si="168"/>
        <v>#4: LCA: Water use</v>
      </c>
      <c r="EH111" s="90"/>
      <c r="EI111" s="90"/>
      <c r="EJ111" s="90"/>
      <c r="EK111" s="90"/>
      <c r="EL111" s="90"/>
      <c r="EM111" s="90"/>
      <c r="EN111" s="90"/>
      <c r="EO111" s="90"/>
      <c r="EP111" s="188" t="e">
        <f t="shared" si="169"/>
        <v>#DIV/0!</v>
      </c>
      <c r="EQ111" s="188" t="e">
        <f t="shared" si="169"/>
        <v>#DIV/0!</v>
      </c>
      <c r="ER111" s="188" t="e">
        <f t="shared" si="169"/>
        <v>#DIV/0!</v>
      </c>
      <c r="ES111" s="188" t="e">
        <f t="shared" si="169"/>
        <v>#DIV/0!</v>
      </c>
      <c r="ET111" s="146"/>
      <c r="EU111" s="146"/>
      <c r="EV111" s="146"/>
      <c r="EW111" s="146"/>
      <c r="EX111" s="146"/>
      <c r="EY111" s="146"/>
      <c r="EZ111" s="146"/>
      <c r="FA111" s="146"/>
      <c r="FB111" s="146"/>
      <c r="FC111" s="146"/>
    </row>
    <row r="112" spans="2:159">
      <c r="B112" s="90" t="str">
        <f t="shared" si="148"/>
        <v>#5: LCA: Energy use</v>
      </c>
      <c r="C112" s="90"/>
      <c r="D112" s="90"/>
      <c r="E112" s="90"/>
      <c r="F112" s="90"/>
      <c r="G112" s="90"/>
      <c r="H112" s="90"/>
      <c r="I112" s="90"/>
      <c r="J112" s="90"/>
      <c r="K112" s="188" t="e">
        <f t="shared" si="149"/>
        <v>#DIV/0!</v>
      </c>
      <c r="L112" s="188" t="e">
        <f t="shared" si="149"/>
        <v>#DIV/0!</v>
      </c>
      <c r="M112" s="188" t="e">
        <f t="shared" si="149"/>
        <v>#DIV/0!</v>
      </c>
      <c r="N112" s="188" t="e">
        <f t="shared" si="149"/>
        <v>#DIV/0!</v>
      </c>
      <c r="O112" s="93"/>
      <c r="P112" s="90" t="str">
        <f t="shared" si="150"/>
        <v>#5: LCA: Energy use</v>
      </c>
      <c r="Q112" s="90"/>
      <c r="R112" s="90"/>
      <c r="S112" s="90"/>
      <c r="T112" s="90"/>
      <c r="U112" s="90"/>
      <c r="V112" s="90"/>
      <c r="W112" s="90"/>
      <c r="X112" s="90"/>
      <c r="Y112" s="188" t="e">
        <f t="shared" si="151"/>
        <v>#DIV/0!</v>
      </c>
      <c r="Z112" s="188" t="e">
        <f t="shared" si="151"/>
        <v>#DIV/0!</v>
      </c>
      <c r="AA112" s="188" t="e">
        <f t="shared" si="151"/>
        <v>#DIV/0!</v>
      </c>
      <c r="AB112" s="188" t="e">
        <f t="shared" si="151"/>
        <v>#DIV/0!</v>
      </c>
      <c r="AC112" s="51"/>
      <c r="AD112" s="90" t="str">
        <f t="shared" si="152"/>
        <v>#5: LCA: Energy use</v>
      </c>
      <c r="AE112" s="90"/>
      <c r="AF112" s="90"/>
      <c r="AG112" s="90"/>
      <c r="AH112" s="90"/>
      <c r="AI112" s="90"/>
      <c r="AJ112" s="90"/>
      <c r="AK112" s="90"/>
      <c r="AL112" s="90"/>
      <c r="AM112" s="188" t="e">
        <f t="shared" si="153"/>
        <v>#DIV/0!</v>
      </c>
      <c r="AN112" s="188" t="e">
        <f t="shared" si="153"/>
        <v>#DIV/0!</v>
      </c>
      <c r="AO112" s="188" t="e">
        <f t="shared" si="153"/>
        <v>#DIV/0!</v>
      </c>
      <c r="AP112" s="188" t="e">
        <f t="shared" si="153"/>
        <v>#DIV/0!</v>
      </c>
      <c r="AQ112" s="146"/>
      <c r="AR112" s="90" t="str">
        <f t="shared" si="154"/>
        <v>#5: LCA: Energy use</v>
      </c>
      <c r="AS112" s="90"/>
      <c r="AT112" s="90"/>
      <c r="AU112" s="90"/>
      <c r="AV112" s="90"/>
      <c r="AW112" s="90"/>
      <c r="AX112" s="90"/>
      <c r="AY112" s="90"/>
      <c r="AZ112" s="90"/>
      <c r="BA112" s="188" t="e">
        <f t="shared" si="155"/>
        <v>#DIV/0!</v>
      </c>
      <c r="BB112" s="188" t="e">
        <f t="shared" si="155"/>
        <v>#DIV/0!</v>
      </c>
      <c r="BC112" s="188" t="e">
        <f t="shared" si="155"/>
        <v>#DIV/0!</v>
      </c>
      <c r="BD112" s="142"/>
      <c r="BE112" s="90" t="str">
        <f t="shared" si="156"/>
        <v>#5: LCA: Energy use</v>
      </c>
      <c r="BF112" s="90"/>
      <c r="BG112" s="90"/>
      <c r="BH112" s="90"/>
      <c r="BI112" s="90"/>
      <c r="BJ112" s="90"/>
      <c r="BK112" s="90"/>
      <c r="BL112" s="188" t="e">
        <f t="shared" si="157"/>
        <v>#DIV/0!</v>
      </c>
      <c r="BM112" s="188" t="e">
        <f t="shared" si="157"/>
        <v>#DIV/0!</v>
      </c>
      <c r="BN112" s="188" t="e">
        <f t="shared" si="157"/>
        <v>#DIV/0!</v>
      </c>
      <c r="BO112" s="274"/>
      <c r="BP112" s="90" t="str">
        <f t="shared" si="158"/>
        <v>#5: LCA: Energy use</v>
      </c>
      <c r="BQ112" s="90"/>
      <c r="BR112" s="90"/>
      <c r="BS112" s="90"/>
      <c r="BT112" s="90"/>
      <c r="BU112" s="90"/>
      <c r="BV112" s="90"/>
      <c r="BW112" s="90"/>
      <c r="BX112" s="90"/>
      <c r="BY112" s="188" t="e">
        <f t="shared" si="159"/>
        <v>#DIV/0!</v>
      </c>
      <c r="BZ112" s="188" t="e">
        <f t="shared" si="159"/>
        <v>#DIV/0!</v>
      </c>
      <c r="CA112" s="188" t="e">
        <f t="shared" si="159"/>
        <v>#DIV/0!</v>
      </c>
      <c r="CB112" s="142"/>
      <c r="CC112" s="90" t="str">
        <f t="shared" si="160"/>
        <v>#5: LCA: Energy use</v>
      </c>
      <c r="CD112" s="90"/>
      <c r="CE112" s="90"/>
      <c r="CF112" s="90"/>
      <c r="CG112" s="90"/>
      <c r="CH112" s="90"/>
      <c r="CI112" s="90"/>
      <c r="CJ112" s="90"/>
      <c r="CK112" s="90"/>
      <c r="CL112" s="188" t="e">
        <f t="shared" si="161"/>
        <v>#DIV/0!</v>
      </c>
      <c r="CM112" s="188" t="e">
        <f t="shared" si="161"/>
        <v>#DIV/0!</v>
      </c>
      <c r="CN112" s="188" t="e">
        <f t="shared" si="161"/>
        <v>#DIV/0!</v>
      </c>
      <c r="CO112" s="188" t="e">
        <f t="shared" si="161"/>
        <v>#DIV/0!</v>
      </c>
      <c r="CP112" s="146"/>
      <c r="CQ112" s="90" t="str">
        <f t="shared" si="162"/>
        <v>#5: LCA: Energy use</v>
      </c>
      <c r="CR112" s="90"/>
      <c r="CS112" s="90"/>
      <c r="CT112" s="90"/>
      <c r="CU112" s="90"/>
      <c r="CV112" s="90"/>
      <c r="CW112" s="90"/>
      <c r="CX112" s="90"/>
      <c r="CY112" s="90"/>
      <c r="CZ112" s="188" t="e">
        <f t="shared" si="163"/>
        <v>#DIV/0!</v>
      </c>
      <c r="DA112" s="188" t="e">
        <f t="shared" si="163"/>
        <v>#DIV/0!</v>
      </c>
      <c r="DB112" s="188" t="e">
        <f t="shared" si="163"/>
        <v>#DIV/0!</v>
      </c>
      <c r="DC112" s="188" t="e">
        <f t="shared" si="163"/>
        <v>#DIV/0!</v>
      </c>
      <c r="DD112" s="146"/>
      <c r="DE112" s="90" t="str">
        <f t="shared" si="164"/>
        <v>#5: LCA: Energy use</v>
      </c>
      <c r="DF112" s="90"/>
      <c r="DG112" s="90"/>
      <c r="DH112" s="90"/>
      <c r="DI112" s="90"/>
      <c r="DJ112" s="90"/>
      <c r="DK112" s="90"/>
      <c r="DL112" s="90"/>
      <c r="DM112" s="90"/>
      <c r="DN112" s="188" t="e">
        <f t="shared" si="165"/>
        <v>#DIV/0!</v>
      </c>
      <c r="DO112" s="188" t="e">
        <f t="shared" si="165"/>
        <v>#DIV/0!</v>
      </c>
      <c r="DP112" s="188" t="e">
        <f t="shared" si="165"/>
        <v>#DIV/0!</v>
      </c>
      <c r="DQ112" s="188" t="e">
        <f t="shared" si="165"/>
        <v>#DIV/0!</v>
      </c>
      <c r="DR112" s="146"/>
      <c r="DS112" s="90" t="str">
        <f t="shared" si="166"/>
        <v>#5: LCA: Energy use</v>
      </c>
      <c r="DT112" s="90"/>
      <c r="DU112" s="90"/>
      <c r="DV112" s="90"/>
      <c r="DW112" s="90"/>
      <c r="DX112" s="90"/>
      <c r="DY112" s="90"/>
      <c r="DZ112" s="90"/>
      <c r="EA112" s="90"/>
      <c r="EB112" s="188" t="e">
        <f t="shared" si="167"/>
        <v>#DIV/0!</v>
      </c>
      <c r="EC112" s="188" t="e">
        <f t="shared" si="167"/>
        <v>#DIV/0!</v>
      </c>
      <c r="ED112" s="188" t="e">
        <f t="shared" si="167"/>
        <v>#DIV/0!</v>
      </c>
      <c r="EE112" s="188" t="e">
        <f t="shared" si="167"/>
        <v>#DIV/0!</v>
      </c>
      <c r="EF112" s="146"/>
      <c r="EG112" s="90" t="str">
        <f t="shared" si="168"/>
        <v>#5: LCA: Energy use</v>
      </c>
      <c r="EH112" s="90"/>
      <c r="EI112" s="90"/>
      <c r="EJ112" s="90"/>
      <c r="EK112" s="90"/>
      <c r="EL112" s="90"/>
      <c r="EM112" s="90"/>
      <c r="EN112" s="90"/>
      <c r="EO112" s="90"/>
      <c r="EP112" s="188" t="e">
        <f t="shared" si="169"/>
        <v>#DIV/0!</v>
      </c>
      <c r="EQ112" s="188" t="e">
        <f t="shared" si="169"/>
        <v>#DIV/0!</v>
      </c>
      <c r="ER112" s="188" t="e">
        <f t="shared" si="169"/>
        <v>#DIV/0!</v>
      </c>
      <c r="ES112" s="188" t="e">
        <f t="shared" si="169"/>
        <v>#DIV/0!</v>
      </c>
      <c r="ET112" s="146"/>
      <c r="EU112" s="146"/>
      <c r="EV112" s="146"/>
      <c r="EW112" s="146"/>
      <c r="EX112" s="146"/>
      <c r="EY112" s="146"/>
      <c r="EZ112" s="146"/>
      <c r="FA112" s="146"/>
      <c r="FB112" s="146"/>
      <c r="FC112" s="146"/>
    </row>
    <row r="113" spans="2:159">
      <c r="B113" s="90" t="str">
        <f t="shared" si="148"/>
        <v>#6: LCA: Transport refrigeration (electricity and fuel only for refrigeration)</v>
      </c>
      <c r="C113" s="90"/>
      <c r="D113" s="90"/>
      <c r="E113" s="90"/>
      <c r="F113" s="90"/>
      <c r="G113" s="90"/>
      <c r="H113" s="90"/>
      <c r="I113" s="90"/>
      <c r="J113" s="90"/>
      <c r="K113" s="188" t="e">
        <f t="shared" si="149"/>
        <v>#DIV/0!</v>
      </c>
      <c r="L113" s="188" t="e">
        <f t="shared" si="149"/>
        <v>#DIV/0!</v>
      </c>
      <c r="M113" s="188" t="e">
        <f t="shared" si="149"/>
        <v>#DIV/0!</v>
      </c>
      <c r="N113" s="188" t="e">
        <f t="shared" si="149"/>
        <v>#DIV/0!</v>
      </c>
      <c r="O113" s="93"/>
      <c r="P113" s="90" t="str">
        <f t="shared" si="150"/>
        <v>#6: LCA: Transport refrigeration (electricity and fuel only for refrigeration)</v>
      </c>
      <c r="Q113" s="90"/>
      <c r="R113" s="90"/>
      <c r="S113" s="90"/>
      <c r="T113" s="90"/>
      <c r="U113" s="90"/>
      <c r="V113" s="90"/>
      <c r="W113" s="90"/>
      <c r="X113" s="90"/>
      <c r="Y113" s="188" t="e">
        <f t="shared" si="151"/>
        <v>#DIV/0!</v>
      </c>
      <c r="Z113" s="188" t="e">
        <f t="shared" si="151"/>
        <v>#DIV/0!</v>
      </c>
      <c r="AA113" s="188" t="e">
        <f t="shared" si="151"/>
        <v>#DIV/0!</v>
      </c>
      <c r="AB113" s="188" t="e">
        <f t="shared" si="151"/>
        <v>#DIV/0!</v>
      </c>
      <c r="AC113" s="51"/>
      <c r="AD113" s="90" t="str">
        <f t="shared" si="152"/>
        <v>#6: LCA: Transport refrigeration (electricity and fuel only for refrigeration)</v>
      </c>
      <c r="AE113" s="90"/>
      <c r="AF113" s="90"/>
      <c r="AG113" s="90"/>
      <c r="AH113" s="90"/>
      <c r="AI113" s="90"/>
      <c r="AJ113" s="90"/>
      <c r="AK113" s="90"/>
      <c r="AL113" s="90"/>
      <c r="AM113" s="188" t="e">
        <f t="shared" si="153"/>
        <v>#DIV/0!</v>
      </c>
      <c r="AN113" s="188" t="e">
        <f t="shared" si="153"/>
        <v>#DIV/0!</v>
      </c>
      <c r="AO113" s="188" t="e">
        <f t="shared" si="153"/>
        <v>#DIV/0!</v>
      </c>
      <c r="AP113" s="188" t="e">
        <f t="shared" si="153"/>
        <v>#DIV/0!</v>
      </c>
      <c r="AQ113" s="146"/>
      <c r="AR113" s="90" t="str">
        <f t="shared" si="154"/>
        <v>#6: LCA: Transport refrigeration (electricity and fuel only for refrigeration)</v>
      </c>
      <c r="AS113" s="90"/>
      <c r="AT113" s="90"/>
      <c r="AU113" s="90"/>
      <c r="AV113" s="90"/>
      <c r="AW113" s="90"/>
      <c r="AX113" s="90"/>
      <c r="AY113" s="90"/>
      <c r="AZ113" s="90"/>
      <c r="BA113" s="188" t="e">
        <f t="shared" si="155"/>
        <v>#DIV/0!</v>
      </c>
      <c r="BB113" s="188" t="e">
        <f t="shared" si="155"/>
        <v>#DIV/0!</v>
      </c>
      <c r="BC113" s="188" t="e">
        <f t="shared" si="155"/>
        <v>#DIV/0!</v>
      </c>
      <c r="BD113" s="142"/>
      <c r="BE113" s="90" t="str">
        <f t="shared" si="156"/>
        <v>#6: LCA: Transport refrigeration (electricity and fuel only for refrigeration)</v>
      </c>
      <c r="BF113" s="90"/>
      <c r="BG113" s="90"/>
      <c r="BH113" s="90"/>
      <c r="BI113" s="90"/>
      <c r="BJ113" s="90"/>
      <c r="BK113" s="90"/>
      <c r="BL113" s="188" t="e">
        <f t="shared" si="157"/>
        <v>#DIV/0!</v>
      </c>
      <c r="BM113" s="188" t="e">
        <f t="shared" si="157"/>
        <v>#DIV/0!</v>
      </c>
      <c r="BN113" s="188" t="e">
        <f t="shared" si="157"/>
        <v>#DIV/0!</v>
      </c>
      <c r="BO113" s="274"/>
      <c r="BP113" s="90" t="str">
        <f t="shared" si="158"/>
        <v>#6: LCA: Transport refrigeration (electricity and fuel only for refrigeration)</v>
      </c>
      <c r="BQ113" s="90"/>
      <c r="BR113" s="90"/>
      <c r="BS113" s="90"/>
      <c r="BT113" s="90"/>
      <c r="BU113" s="90"/>
      <c r="BV113" s="90"/>
      <c r="BW113" s="90"/>
      <c r="BX113" s="90"/>
      <c r="BY113" s="188" t="e">
        <f t="shared" si="159"/>
        <v>#DIV/0!</v>
      </c>
      <c r="BZ113" s="188" t="e">
        <f t="shared" si="159"/>
        <v>#DIV/0!</v>
      </c>
      <c r="CA113" s="188" t="e">
        <f t="shared" si="159"/>
        <v>#DIV/0!</v>
      </c>
      <c r="CB113" s="142"/>
      <c r="CC113" s="90" t="str">
        <f t="shared" si="160"/>
        <v>#6: LCA: Transport refrigeration (electricity and fuel only for refrigeration)</v>
      </c>
      <c r="CD113" s="90"/>
      <c r="CE113" s="90"/>
      <c r="CF113" s="90"/>
      <c r="CG113" s="90"/>
      <c r="CH113" s="90"/>
      <c r="CI113" s="90"/>
      <c r="CJ113" s="90"/>
      <c r="CK113" s="90"/>
      <c r="CL113" s="188" t="e">
        <f t="shared" si="161"/>
        <v>#DIV/0!</v>
      </c>
      <c r="CM113" s="188" t="e">
        <f t="shared" si="161"/>
        <v>#DIV/0!</v>
      </c>
      <c r="CN113" s="188" t="e">
        <f t="shared" si="161"/>
        <v>#DIV/0!</v>
      </c>
      <c r="CO113" s="188" t="e">
        <f t="shared" si="161"/>
        <v>#DIV/0!</v>
      </c>
      <c r="CP113" s="146"/>
      <c r="CQ113" s="90" t="str">
        <f t="shared" si="162"/>
        <v>#6: LCA: Transport refrigeration (electricity and fuel only for refrigeration)</v>
      </c>
      <c r="CR113" s="90"/>
      <c r="CS113" s="90"/>
      <c r="CT113" s="90"/>
      <c r="CU113" s="90"/>
      <c r="CV113" s="90"/>
      <c r="CW113" s="90"/>
      <c r="CX113" s="90"/>
      <c r="CY113" s="90"/>
      <c r="CZ113" s="188" t="e">
        <f t="shared" si="163"/>
        <v>#DIV/0!</v>
      </c>
      <c r="DA113" s="188" t="e">
        <f t="shared" si="163"/>
        <v>#DIV/0!</v>
      </c>
      <c r="DB113" s="188" t="e">
        <f t="shared" si="163"/>
        <v>#DIV/0!</v>
      </c>
      <c r="DC113" s="188" t="e">
        <f t="shared" si="163"/>
        <v>#DIV/0!</v>
      </c>
      <c r="DD113" s="146"/>
      <c r="DE113" s="90" t="str">
        <f t="shared" si="164"/>
        <v>#6: LCA: Transport refrigeration (electricity and fuel only for refrigeration)</v>
      </c>
      <c r="DF113" s="90"/>
      <c r="DG113" s="90"/>
      <c r="DH113" s="90"/>
      <c r="DI113" s="90"/>
      <c r="DJ113" s="90"/>
      <c r="DK113" s="90"/>
      <c r="DL113" s="90"/>
      <c r="DM113" s="90"/>
      <c r="DN113" s="188" t="e">
        <f t="shared" si="165"/>
        <v>#DIV/0!</v>
      </c>
      <c r="DO113" s="188" t="e">
        <f t="shared" si="165"/>
        <v>#DIV/0!</v>
      </c>
      <c r="DP113" s="188" t="e">
        <f t="shared" si="165"/>
        <v>#DIV/0!</v>
      </c>
      <c r="DQ113" s="188" t="e">
        <f t="shared" si="165"/>
        <v>#DIV/0!</v>
      </c>
      <c r="DR113" s="146"/>
      <c r="DS113" s="90" t="str">
        <f t="shared" si="166"/>
        <v>#6: LCA: Transport refrigeration (electricity and fuel only for refrigeration)</v>
      </c>
      <c r="DT113" s="90"/>
      <c r="DU113" s="90"/>
      <c r="DV113" s="90"/>
      <c r="DW113" s="90"/>
      <c r="DX113" s="90"/>
      <c r="DY113" s="90"/>
      <c r="DZ113" s="90"/>
      <c r="EA113" s="90"/>
      <c r="EB113" s="188" t="e">
        <f t="shared" si="167"/>
        <v>#DIV/0!</v>
      </c>
      <c r="EC113" s="188" t="e">
        <f t="shared" si="167"/>
        <v>#DIV/0!</v>
      </c>
      <c r="ED113" s="188" t="e">
        <f t="shared" si="167"/>
        <v>#DIV/0!</v>
      </c>
      <c r="EE113" s="188" t="e">
        <f t="shared" si="167"/>
        <v>#DIV/0!</v>
      </c>
      <c r="EF113" s="146"/>
      <c r="EG113" s="90" t="str">
        <f t="shared" si="168"/>
        <v>#6: LCA: Transport refrigeration (electricity and fuel only for refrigeration)</v>
      </c>
      <c r="EH113" s="90"/>
      <c r="EI113" s="90"/>
      <c r="EJ113" s="90"/>
      <c r="EK113" s="90"/>
      <c r="EL113" s="90"/>
      <c r="EM113" s="90"/>
      <c r="EN113" s="90"/>
      <c r="EO113" s="90"/>
      <c r="EP113" s="188" t="e">
        <f t="shared" si="169"/>
        <v>#DIV/0!</v>
      </c>
      <c r="EQ113" s="188" t="e">
        <f t="shared" si="169"/>
        <v>#DIV/0!</v>
      </c>
      <c r="ER113" s="188" t="e">
        <f t="shared" si="169"/>
        <v>#DIV/0!</v>
      </c>
      <c r="ES113" s="188" t="e">
        <f t="shared" si="169"/>
        <v>#DIV/0!</v>
      </c>
      <c r="ET113" s="146"/>
      <c r="EU113" s="146"/>
      <c r="EV113" s="146"/>
      <c r="EW113" s="146"/>
      <c r="EX113" s="146"/>
      <c r="EY113" s="146"/>
      <c r="EZ113" s="146"/>
      <c r="FA113" s="146"/>
      <c r="FB113" s="146"/>
      <c r="FC113" s="146"/>
    </row>
    <row r="114" spans="2:159">
      <c r="B114" s="90" t="str">
        <f t="shared" si="148"/>
        <v>#7: LCA: Refrigerant slippage</v>
      </c>
      <c r="C114" s="90"/>
      <c r="D114" s="90"/>
      <c r="E114" s="90"/>
      <c r="F114" s="90"/>
      <c r="G114" s="90"/>
      <c r="H114" s="90"/>
      <c r="I114" s="90"/>
      <c r="J114" s="90"/>
      <c r="K114" s="188" t="e">
        <f t="shared" si="149"/>
        <v>#DIV/0!</v>
      </c>
      <c r="L114" s="188" t="e">
        <f t="shared" si="149"/>
        <v>#DIV/0!</v>
      </c>
      <c r="M114" s="188" t="e">
        <f t="shared" si="149"/>
        <v>#DIV/0!</v>
      </c>
      <c r="N114" s="188" t="e">
        <f t="shared" si="149"/>
        <v>#DIV/0!</v>
      </c>
      <c r="O114" s="93"/>
      <c r="P114" s="90" t="str">
        <f t="shared" si="150"/>
        <v>#7: LCA: Refrigerant slippage</v>
      </c>
      <c r="Q114" s="90"/>
      <c r="R114" s="90"/>
      <c r="S114" s="90"/>
      <c r="T114" s="90"/>
      <c r="U114" s="90"/>
      <c r="V114" s="90"/>
      <c r="W114" s="90"/>
      <c r="X114" s="90"/>
      <c r="Y114" s="188" t="e">
        <f t="shared" si="151"/>
        <v>#DIV/0!</v>
      </c>
      <c r="Z114" s="188" t="e">
        <f t="shared" si="151"/>
        <v>#DIV/0!</v>
      </c>
      <c r="AA114" s="188" t="e">
        <f t="shared" si="151"/>
        <v>#DIV/0!</v>
      </c>
      <c r="AB114" s="188" t="e">
        <f t="shared" si="151"/>
        <v>#DIV/0!</v>
      </c>
      <c r="AC114" s="51"/>
      <c r="AD114" s="90" t="str">
        <f t="shared" si="152"/>
        <v>#7: LCA: Refrigerant slippage</v>
      </c>
      <c r="AE114" s="90"/>
      <c r="AF114" s="90"/>
      <c r="AG114" s="90"/>
      <c r="AH114" s="90"/>
      <c r="AI114" s="90"/>
      <c r="AJ114" s="90"/>
      <c r="AK114" s="90"/>
      <c r="AL114" s="90"/>
      <c r="AM114" s="188" t="e">
        <f t="shared" si="153"/>
        <v>#DIV/0!</v>
      </c>
      <c r="AN114" s="188" t="e">
        <f t="shared" si="153"/>
        <v>#DIV/0!</v>
      </c>
      <c r="AO114" s="188" t="e">
        <f t="shared" si="153"/>
        <v>#DIV/0!</v>
      </c>
      <c r="AP114" s="188" t="e">
        <f t="shared" si="153"/>
        <v>#DIV/0!</v>
      </c>
      <c r="AQ114" s="146"/>
      <c r="AR114" s="90" t="str">
        <f t="shared" si="154"/>
        <v>#7: LCA: Refrigerant slippage</v>
      </c>
      <c r="AS114" s="90"/>
      <c r="AT114" s="90"/>
      <c r="AU114" s="90"/>
      <c r="AV114" s="90"/>
      <c r="AW114" s="90"/>
      <c r="AX114" s="90"/>
      <c r="AY114" s="90"/>
      <c r="AZ114" s="90"/>
      <c r="BA114" s="188" t="e">
        <f t="shared" si="155"/>
        <v>#DIV/0!</v>
      </c>
      <c r="BB114" s="188" t="e">
        <f t="shared" si="155"/>
        <v>#DIV/0!</v>
      </c>
      <c r="BC114" s="188" t="e">
        <f t="shared" si="155"/>
        <v>#DIV/0!</v>
      </c>
      <c r="BD114" s="142"/>
      <c r="BE114" s="90" t="str">
        <f t="shared" si="156"/>
        <v>#7: LCA: Refrigerant slippage</v>
      </c>
      <c r="BF114" s="90"/>
      <c r="BG114" s="90"/>
      <c r="BH114" s="90"/>
      <c r="BI114" s="90"/>
      <c r="BJ114" s="90"/>
      <c r="BK114" s="90"/>
      <c r="BL114" s="188" t="e">
        <f t="shared" si="157"/>
        <v>#DIV/0!</v>
      </c>
      <c r="BM114" s="188" t="e">
        <f t="shared" si="157"/>
        <v>#DIV/0!</v>
      </c>
      <c r="BN114" s="188" t="e">
        <f t="shared" si="157"/>
        <v>#DIV/0!</v>
      </c>
      <c r="BO114" s="274"/>
      <c r="BP114" s="90" t="str">
        <f t="shared" si="158"/>
        <v>#7: LCA: Refrigerant slippage</v>
      </c>
      <c r="BQ114" s="90"/>
      <c r="BR114" s="90"/>
      <c r="BS114" s="90"/>
      <c r="BT114" s="90"/>
      <c r="BU114" s="90"/>
      <c r="BV114" s="90"/>
      <c r="BW114" s="90"/>
      <c r="BX114" s="90"/>
      <c r="BY114" s="188" t="e">
        <f t="shared" si="159"/>
        <v>#DIV/0!</v>
      </c>
      <c r="BZ114" s="188" t="e">
        <f t="shared" si="159"/>
        <v>#DIV/0!</v>
      </c>
      <c r="CA114" s="188" t="e">
        <f t="shared" si="159"/>
        <v>#DIV/0!</v>
      </c>
      <c r="CB114" s="142"/>
      <c r="CC114" s="90" t="str">
        <f t="shared" si="160"/>
        <v>#7: LCA: Refrigerant slippage</v>
      </c>
      <c r="CD114" s="90"/>
      <c r="CE114" s="90"/>
      <c r="CF114" s="90"/>
      <c r="CG114" s="90"/>
      <c r="CH114" s="90"/>
      <c r="CI114" s="90"/>
      <c r="CJ114" s="90"/>
      <c r="CK114" s="90"/>
      <c r="CL114" s="188" t="e">
        <f t="shared" si="161"/>
        <v>#DIV/0!</v>
      </c>
      <c r="CM114" s="188" t="e">
        <f t="shared" si="161"/>
        <v>#DIV/0!</v>
      </c>
      <c r="CN114" s="188" t="e">
        <f t="shared" si="161"/>
        <v>#DIV/0!</v>
      </c>
      <c r="CO114" s="188" t="e">
        <f t="shared" si="161"/>
        <v>#DIV/0!</v>
      </c>
      <c r="CP114" s="146"/>
      <c r="CQ114" s="90" t="str">
        <f t="shared" si="162"/>
        <v>#7: LCA: Refrigerant slippage</v>
      </c>
      <c r="CR114" s="90"/>
      <c r="CS114" s="90"/>
      <c r="CT114" s="90"/>
      <c r="CU114" s="90"/>
      <c r="CV114" s="90"/>
      <c r="CW114" s="90"/>
      <c r="CX114" s="90"/>
      <c r="CY114" s="90"/>
      <c r="CZ114" s="188" t="e">
        <f t="shared" si="163"/>
        <v>#DIV/0!</v>
      </c>
      <c r="DA114" s="188" t="e">
        <f t="shared" si="163"/>
        <v>#DIV/0!</v>
      </c>
      <c r="DB114" s="188" t="e">
        <f t="shared" si="163"/>
        <v>#DIV/0!</v>
      </c>
      <c r="DC114" s="188" t="e">
        <f t="shared" si="163"/>
        <v>#DIV/0!</v>
      </c>
      <c r="DD114" s="146"/>
      <c r="DE114" s="90" t="str">
        <f t="shared" si="164"/>
        <v>#7: LCA: Refrigerant slippage</v>
      </c>
      <c r="DF114" s="90"/>
      <c r="DG114" s="90"/>
      <c r="DH114" s="90"/>
      <c r="DI114" s="90"/>
      <c r="DJ114" s="90"/>
      <c r="DK114" s="90"/>
      <c r="DL114" s="90"/>
      <c r="DM114" s="90"/>
      <c r="DN114" s="188" t="e">
        <f t="shared" si="165"/>
        <v>#DIV/0!</v>
      </c>
      <c r="DO114" s="188" t="e">
        <f t="shared" si="165"/>
        <v>#DIV/0!</v>
      </c>
      <c r="DP114" s="188" t="e">
        <f t="shared" si="165"/>
        <v>#DIV/0!</v>
      </c>
      <c r="DQ114" s="188" t="e">
        <f t="shared" si="165"/>
        <v>#DIV/0!</v>
      </c>
      <c r="DR114" s="146"/>
      <c r="DS114" s="90" t="str">
        <f t="shared" si="166"/>
        <v>#7: LCA: Refrigerant slippage</v>
      </c>
      <c r="DT114" s="90"/>
      <c r="DU114" s="90"/>
      <c r="DV114" s="90"/>
      <c r="DW114" s="90"/>
      <c r="DX114" s="90"/>
      <c r="DY114" s="90"/>
      <c r="DZ114" s="90"/>
      <c r="EA114" s="90"/>
      <c r="EB114" s="188" t="e">
        <f t="shared" si="167"/>
        <v>#DIV/0!</v>
      </c>
      <c r="EC114" s="188" t="e">
        <f t="shared" si="167"/>
        <v>#DIV/0!</v>
      </c>
      <c r="ED114" s="188" t="e">
        <f t="shared" si="167"/>
        <v>#DIV/0!</v>
      </c>
      <c r="EE114" s="188" t="e">
        <f t="shared" si="167"/>
        <v>#DIV/0!</v>
      </c>
      <c r="EF114" s="146"/>
      <c r="EG114" s="90" t="str">
        <f t="shared" si="168"/>
        <v>#7: LCA: Refrigerant slippage</v>
      </c>
      <c r="EH114" s="90"/>
      <c r="EI114" s="90"/>
      <c r="EJ114" s="90"/>
      <c r="EK114" s="90"/>
      <c r="EL114" s="90"/>
      <c r="EM114" s="90"/>
      <c r="EN114" s="90"/>
      <c r="EO114" s="90"/>
      <c r="EP114" s="188" t="e">
        <f t="shared" si="169"/>
        <v>#DIV/0!</v>
      </c>
      <c r="EQ114" s="188" t="e">
        <f t="shared" si="169"/>
        <v>#DIV/0!</v>
      </c>
      <c r="ER114" s="188" t="e">
        <f t="shared" si="169"/>
        <v>#DIV/0!</v>
      </c>
      <c r="ES114" s="188" t="e">
        <f t="shared" si="169"/>
        <v>#DIV/0!</v>
      </c>
      <c r="ET114" s="146"/>
      <c r="EU114" s="146"/>
      <c r="EV114" s="146"/>
      <c r="EW114" s="146"/>
      <c r="EX114" s="146"/>
      <c r="EY114" s="146"/>
      <c r="EZ114" s="146"/>
      <c r="FA114" s="146"/>
      <c r="FB114" s="146"/>
      <c r="FC114" s="146"/>
    </row>
    <row r="115" spans="2:159">
      <c r="B115" s="90" t="str">
        <f t="shared" si="148"/>
        <v>#8: LCA: Waste</v>
      </c>
      <c r="C115" s="90"/>
      <c r="D115" s="90"/>
      <c r="E115" s="90"/>
      <c r="F115" s="90"/>
      <c r="G115" s="90"/>
      <c r="H115" s="90"/>
      <c r="I115" s="90"/>
      <c r="J115" s="90"/>
      <c r="K115" s="188" t="e">
        <f t="shared" si="149"/>
        <v>#DIV/0!</v>
      </c>
      <c r="L115" s="188" t="e">
        <f t="shared" si="149"/>
        <v>#DIV/0!</v>
      </c>
      <c r="M115" s="188" t="e">
        <f t="shared" si="149"/>
        <v>#DIV/0!</v>
      </c>
      <c r="N115" s="188" t="e">
        <f t="shared" si="149"/>
        <v>#DIV/0!</v>
      </c>
      <c r="O115" s="93"/>
      <c r="P115" s="90" t="str">
        <f t="shared" si="150"/>
        <v>#8: LCA: Waste</v>
      </c>
      <c r="Q115" s="90"/>
      <c r="R115" s="90"/>
      <c r="S115" s="90"/>
      <c r="T115" s="90"/>
      <c r="U115" s="90"/>
      <c r="V115" s="90"/>
      <c r="W115" s="90"/>
      <c r="X115" s="90"/>
      <c r="Y115" s="188" t="e">
        <f t="shared" si="151"/>
        <v>#DIV/0!</v>
      </c>
      <c r="Z115" s="188" t="e">
        <f t="shared" si="151"/>
        <v>#DIV/0!</v>
      </c>
      <c r="AA115" s="188" t="e">
        <f t="shared" si="151"/>
        <v>#DIV/0!</v>
      </c>
      <c r="AB115" s="188" t="e">
        <f t="shared" si="151"/>
        <v>#DIV/0!</v>
      </c>
      <c r="AC115" s="51"/>
      <c r="AD115" s="90" t="str">
        <f t="shared" si="152"/>
        <v>#8: LCA: Waste</v>
      </c>
      <c r="AE115" s="90"/>
      <c r="AF115" s="90"/>
      <c r="AG115" s="90"/>
      <c r="AH115" s="90"/>
      <c r="AI115" s="90"/>
      <c r="AJ115" s="90"/>
      <c r="AK115" s="90"/>
      <c r="AL115" s="90"/>
      <c r="AM115" s="188" t="e">
        <f t="shared" si="153"/>
        <v>#DIV/0!</v>
      </c>
      <c r="AN115" s="188" t="e">
        <f t="shared" si="153"/>
        <v>#DIV/0!</v>
      </c>
      <c r="AO115" s="188" t="e">
        <f t="shared" si="153"/>
        <v>#DIV/0!</v>
      </c>
      <c r="AP115" s="188" t="e">
        <f t="shared" si="153"/>
        <v>#DIV/0!</v>
      </c>
      <c r="AQ115" s="146"/>
      <c r="AR115" s="90" t="str">
        <f t="shared" si="154"/>
        <v>#8: LCA: Waste</v>
      </c>
      <c r="AS115" s="90"/>
      <c r="AT115" s="90"/>
      <c r="AU115" s="90"/>
      <c r="AV115" s="90"/>
      <c r="AW115" s="90"/>
      <c r="AX115" s="90"/>
      <c r="AY115" s="90"/>
      <c r="AZ115" s="90"/>
      <c r="BA115" s="188" t="e">
        <f t="shared" si="155"/>
        <v>#DIV/0!</v>
      </c>
      <c r="BB115" s="188" t="e">
        <f t="shared" si="155"/>
        <v>#DIV/0!</v>
      </c>
      <c r="BC115" s="188" t="e">
        <f t="shared" si="155"/>
        <v>#DIV/0!</v>
      </c>
      <c r="BD115" s="142"/>
      <c r="BE115" s="90" t="str">
        <f t="shared" si="156"/>
        <v>#8: LCA: Waste</v>
      </c>
      <c r="BF115" s="90"/>
      <c r="BG115" s="90"/>
      <c r="BH115" s="90"/>
      <c r="BI115" s="90"/>
      <c r="BJ115" s="90"/>
      <c r="BK115" s="90"/>
      <c r="BL115" s="188" t="e">
        <f t="shared" si="157"/>
        <v>#DIV/0!</v>
      </c>
      <c r="BM115" s="188" t="e">
        <f t="shared" si="157"/>
        <v>#DIV/0!</v>
      </c>
      <c r="BN115" s="188" t="e">
        <f t="shared" si="157"/>
        <v>#DIV/0!</v>
      </c>
      <c r="BO115" s="274"/>
      <c r="BP115" s="90" t="str">
        <f t="shared" si="158"/>
        <v>#8: LCA: Waste</v>
      </c>
      <c r="BQ115" s="90"/>
      <c r="BR115" s="90"/>
      <c r="BS115" s="90"/>
      <c r="BT115" s="90"/>
      <c r="BU115" s="90"/>
      <c r="BV115" s="90"/>
      <c r="BW115" s="90"/>
      <c r="BX115" s="90"/>
      <c r="BY115" s="188" t="e">
        <f t="shared" si="159"/>
        <v>#DIV/0!</v>
      </c>
      <c r="BZ115" s="188" t="e">
        <f t="shared" si="159"/>
        <v>#DIV/0!</v>
      </c>
      <c r="CA115" s="188" t="e">
        <f t="shared" si="159"/>
        <v>#DIV/0!</v>
      </c>
      <c r="CB115" s="142"/>
      <c r="CC115" s="90" t="str">
        <f t="shared" si="160"/>
        <v>#8: LCA: Waste</v>
      </c>
      <c r="CD115" s="90"/>
      <c r="CE115" s="90"/>
      <c r="CF115" s="90"/>
      <c r="CG115" s="90"/>
      <c r="CH115" s="90"/>
      <c r="CI115" s="90"/>
      <c r="CJ115" s="90"/>
      <c r="CK115" s="90"/>
      <c r="CL115" s="188" t="e">
        <f t="shared" si="161"/>
        <v>#DIV/0!</v>
      </c>
      <c r="CM115" s="188" t="e">
        <f t="shared" si="161"/>
        <v>#DIV/0!</v>
      </c>
      <c r="CN115" s="188" t="e">
        <f t="shared" si="161"/>
        <v>#DIV/0!</v>
      </c>
      <c r="CO115" s="188" t="e">
        <f t="shared" si="161"/>
        <v>#DIV/0!</v>
      </c>
      <c r="CP115" s="146"/>
      <c r="CQ115" s="90" t="str">
        <f t="shared" si="162"/>
        <v>#8: LCA: Waste</v>
      </c>
      <c r="CR115" s="90"/>
      <c r="CS115" s="90"/>
      <c r="CT115" s="90"/>
      <c r="CU115" s="90"/>
      <c r="CV115" s="90"/>
      <c r="CW115" s="90"/>
      <c r="CX115" s="90"/>
      <c r="CY115" s="90"/>
      <c r="CZ115" s="188" t="e">
        <f t="shared" si="163"/>
        <v>#DIV/0!</v>
      </c>
      <c r="DA115" s="188" t="e">
        <f t="shared" si="163"/>
        <v>#DIV/0!</v>
      </c>
      <c r="DB115" s="188" t="e">
        <f t="shared" si="163"/>
        <v>#DIV/0!</v>
      </c>
      <c r="DC115" s="188" t="e">
        <f t="shared" si="163"/>
        <v>#DIV/0!</v>
      </c>
      <c r="DD115" s="146"/>
      <c r="DE115" s="90" t="str">
        <f t="shared" si="164"/>
        <v>#8: LCA: Waste</v>
      </c>
      <c r="DF115" s="90"/>
      <c r="DG115" s="90"/>
      <c r="DH115" s="90"/>
      <c r="DI115" s="90"/>
      <c r="DJ115" s="90"/>
      <c r="DK115" s="90"/>
      <c r="DL115" s="90"/>
      <c r="DM115" s="90"/>
      <c r="DN115" s="188" t="e">
        <f t="shared" si="165"/>
        <v>#DIV/0!</v>
      </c>
      <c r="DO115" s="188" t="e">
        <f t="shared" si="165"/>
        <v>#DIV/0!</v>
      </c>
      <c r="DP115" s="188" t="e">
        <f t="shared" si="165"/>
        <v>#DIV/0!</v>
      </c>
      <c r="DQ115" s="188" t="e">
        <f t="shared" si="165"/>
        <v>#DIV/0!</v>
      </c>
      <c r="DR115" s="146"/>
      <c r="DS115" s="90" t="str">
        <f t="shared" si="166"/>
        <v>#8: LCA: Waste</v>
      </c>
      <c r="DT115" s="90"/>
      <c r="DU115" s="90"/>
      <c r="DV115" s="90"/>
      <c r="DW115" s="90"/>
      <c r="DX115" s="90"/>
      <c r="DY115" s="90"/>
      <c r="DZ115" s="90"/>
      <c r="EA115" s="90"/>
      <c r="EB115" s="188" t="e">
        <f t="shared" si="167"/>
        <v>#DIV/0!</v>
      </c>
      <c r="EC115" s="188" t="e">
        <f t="shared" si="167"/>
        <v>#DIV/0!</v>
      </c>
      <c r="ED115" s="188" t="e">
        <f t="shared" si="167"/>
        <v>#DIV/0!</v>
      </c>
      <c r="EE115" s="188" t="e">
        <f t="shared" si="167"/>
        <v>#DIV/0!</v>
      </c>
      <c r="EF115" s="146"/>
      <c r="EG115" s="90" t="str">
        <f t="shared" si="168"/>
        <v>#8: LCA: Waste</v>
      </c>
      <c r="EH115" s="90"/>
      <c r="EI115" s="90"/>
      <c r="EJ115" s="90"/>
      <c r="EK115" s="90"/>
      <c r="EL115" s="90"/>
      <c r="EM115" s="90"/>
      <c r="EN115" s="90"/>
      <c r="EO115" s="90"/>
      <c r="EP115" s="188" t="e">
        <f t="shared" si="169"/>
        <v>#DIV/0!</v>
      </c>
      <c r="EQ115" s="188" t="e">
        <f t="shared" si="169"/>
        <v>#DIV/0!</v>
      </c>
      <c r="ER115" s="188" t="e">
        <f t="shared" si="169"/>
        <v>#DIV/0!</v>
      </c>
      <c r="ES115" s="188" t="e">
        <f t="shared" si="169"/>
        <v>#DIV/0!</v>
      </c>
      <c r="ET115" s="146"/>
      <c r="EU115" s="146"/>
      <c r="EV115" s="146"/>
      <c r="EW115" s="146"/>
      <c r="EX115" s="146"/>
      <c r="EY115" s="146"/>
      <c r="EZ115" s="146"/>
      <c r="FA115" s="146"/>
      <c r="FB115" s="146"/>
      <c r="FC115" s="146"/>
    </row>
    <row r="116" spans="2:159">
      <c r="B116" s="90" t="str">
        <f>B103</f>
        <v>Total</v>
      </c>
      <c r="C116" s="90"/>
      <c r="D116" s="90"/>
      <c r="E116" s="90"/>
      <c r="F116" s="90"/>
      <c r="G116" s="90"/>
      <c r="H116" s="90"/>
      <c r="I116" s="90"/>
      <c r="J116" s="90"/>
      <c r="K116" s="188" t="e">
        <f t="shared" si="149"/>
        <v>#DIV/0!</v>
      </c>
      <c r="L116" s="188" t="e">
        <f t="shared" si="149"/>
        <v>#DIV/0!</v>
      </c>
      <c r="M116" s="188" t="e">
        <f t="shared" si="149"/>
        <v>#DIV/0!</v>
      </c>
      <c r="N116" s="188" t="e">
        <f t="shared" si="149"/>
        <v>#DIV/0!</v>
      </c>
      <c r="O116" s="93"/>
      <c r="P116" s="90" t="str">
        <f>B116</f>
        <v>Total</v>
      </c>
      <c r="Q116" s="90"/>
      <c r="R116" s="90"/>
      <c r="S116" s="90"/>
      <c r="T116" s="90"/>
      <c r="U116" s="90"/>
      <c r="V116" s="90"/>
      <c r="W116" s="90"/>
      <c r="X116" s="90"/>
      <c r="Y116" s="188" t="e">
        <f t="shared" si="151"/>
        <v>#DIV/0!</v>
      </c>
      <c r="Z116" s="188" t="e">
        <f t="shared" si="151"/>
        <v>#DIV/0!</v>
      </c>
      <c r="AA116" s="188" t="e">
        <f t="shared" si="151"/>
        <v>#DIV/0!</v>
      </c>
      <c r="AB116" s="188" t="e">
        <f t="shared" si="151"/>
        <v>#DIV/0!</v>
      </c>
      <c r="AC116" s="51"/>
      <c r="AD116" s="90" t="str">
        <f>B116</f>
        <v>Total</v>
      </c>
      <c r="AE116" s="90"/>
      <c r="AF116" s="90"/>
      <c r="AG116" s="90"/>
      <c r="AH116" s="90"/>
      <c r="AI116" s="90"/>
      <c r="AJ116" s="90"/>
      <c r="AK116" s="90"/>
      <c r="AL116" s="90"/>
      <c r="AM116" s="188" t="e">
        <f t="shared" si="153"/>
        <v>#DIV/0!</v>
      </c>
      <c r="AN116" s="188" t="e">
        <f t="shared" si="153"/>
        <v>#DIV/0!</v>
      </c>
      <c r="AO116" s="188" t="e">
        <f t="shared" si="153"/>
        <v>#DIV/0!</v>
      </c>
      <c r="AP116" s="188" t="e">
        <f t="shared" si="153"/>
        <v>#DIV/0!</v>
      </c>
      <c r="AQ116" s="146"/>
      <c r="AR116" s="90" t="str">
        <f>AD116</f>
        <v>Total</v>
      </c>
      <c r="AS116" s="90"/>
      <c r="AT116" s="90"/>
      <c r="AU116" s="90"/>
      <c r="AV116" s="90"/>
      <c r="AW116" s="90"/>
      <c r="AX116" s="90"/>
      <c r="AY116" s="90"/>
      <c r="AZ116" s="90"/>
      <c r="BA116" s="188" t="e">
        <f t="shared" si="155"/>
        <v>#DIV/0!</v>
      </c>
      <c r="BB116" s="188" t="e">
        <f t="shared" si="155"/>
        <v>#DIV/0!</v>
      </c>
      <c r="BC116" s="188" t="e">
        <f t="shared" si="155"/>
        <v>#DIV/0!</v>
      </c>
      <c r="BD116" s="142"/>
      <c r="BE116" s="90" t="str">
        <f>AR116</f>
        <v>Total</v>
      </c>
      <c r="BF116" s="90"/>
      <c r="BG116" s="90"/>
      <c r="BH116" s="90"/>
      <c r="BI116" s="90"/>
      <c r="BJ116" s="90"/>
      <c r="BK116" s="90"/>
      <c r="BL116" s="188" t="e">
        <f t="shared" si="157"/>
        <v>#DIV/0!</v>
      </c>
      <c r="BM116" s="188" t="e">
        <f t="shared" si="157"/>
        <v>#DIV/0!</v>
      </c>
      <c r="BN116" s="188" t="e">
        <f t="shared" si="157"/>
        <v>#DIV/0!</v>
      </c>
      <c r="BO116" s="274"/>
      <c r="BP116" s="90" t="str">
        <f>BE116</f>
        <v>Total</v>
      </c>
      <c r="BQ116" s="90"/>
      <c r="BR116" s="90"/>
      <c r="BS116" s="90"/>
      <c r="BT116" s="90"/>
      <c r="BU116" s="90"/>
      <c r="BV116" s="90"/>
      <c r="BW116" s="90"/>
      <c r="BX116" s="90"/>
      <c r="BY116" s="188" t="e">
        <f t="shared" si="159"/>
        <v>#DIV/0!</v>
      </c>
      <c r="BZ116" s="188" t="e">
        <f t="shared" si="159"/>
        <v>#DIV/0!</v>
      </c>
      <c r="CA116" s="188" t="e">
        <f t="shared" si="159"/>
        <v>#DIV/0!</v>
      </c>
      <c r="CB116" s="142"/>
      <c r="CC116" s="143" t="str">
        <f>B116</f>
        <v>Total</v>
      </c>
      <c r="CD116" s="90"/>
      <c r="CE116" s="90"/>
      <c r="CF116" s="90"/>
      <c r="CG116" s="90"/>
      <c r="CH116" s="90"/>
      <c r="CI116" s="90"/>
      <c r="CJ116" s="90"/>
      <c r="CK116" s="90"/>
      <c r="CL116" s="188" t="e">
        <f t="shared" si="161"/>
        <v>#DIV/0!</v>
      </c>
      <c r="CM116" s="188" t="e">
        <f t="shared" si="161"/>
        <v>#DIV/0!</v>
      </c>
      <c r="CN116" s="188" t="e">
        <f t="shared" si="161"/>
        <v>#DIV/0!</v>
      </c>
      <c r="CO116" s="188" t="e">
        <f t="shared" si="161"/>
        <v>#DIV/0!</v>
      </c>
      <c r="CP116" s="146"/>
      <c r="CQ116" s="90" t="str">
        <f>B116</f>
        <v>Total</v>
      </c>
      <c r="CR116" s="90"/>
      <c r="CS116" s="90"/>
      <c r="CT116" s="90"/>
      <c r="CU116" s="90"/>
      <c r="CV116" s="90"/>
      <c r="CW116" s="90"/>
      <c r="CX116" s="90"/>
      <c r="CY116" s="90"/>
      <c r="CZ116" s="188" t="e">
        <f t="shared" si="163"/>
        <v>#DIV/0!</v>
      </c>
      <c r="DA116" s="188" t="e">
        <f t="shared" si="163"/>
        <v>#DIV/0!</v>
      </c>
      <c r="DB116" s="188" t="e">
        <f t="shared" si="163"/>
        <v>#DIV/0!</v>
      </c>
      <c r="DC116" s="188" t="e">
        <f t="shared" si="163"/>
        <v>#DIV/0!</v>
      </c>
      <c r="DD116" s="146"/>
      <c r="DE116" s="90" t="str">
        <f>B116</f>
        <v>Total</v>
      </c>
      <c r="DF116" s="90"/>
      <c r="DG116" s="90"/>
      <c r="DH116" s="90"/>
      <c r="DI116" s="90"/>
      <c r="DJ116" s="90"/>
      <c r="DK116" s="90"/>
      <c r="DL116" s="90"/>
      <c r="DM116" s="90"/>
      <c r="DN116" s="188" t="e">
        <f t="shared" si="165"/>
        <v>#DIV/0!</v>
      </c>
      <c r="DO116" s="188" t="e">
        <f t="shared" si="165"/>
        <v>#DIV/0!</v>
      </c>
      <c r="DP116" s="188" t="e">
        <f t="shared" si="165"/>
        <v>#DIV/0!</v>
      </c>
      <c r="DQ116" s="188" t="e">
        <f t="shared" si="165"/>
        <v>#DIV/0!</v>
      </c>
      <c r="DR116" s="146"/>
      <c r="DS116" s="90" t="str">
        <f>B116</f>
        <v>Total</v>
      </c>
      <c r="DT116" s="90"/>
      <c r="DU116" s="90"/>
      <c r="DV116" s="90"/>
      <c r="DW116" s="90"/>
      <c r="DX116" s="90"/>
      <c r="DY116" s="90"/>
      <c r="DZ116" s="90"/>
      <c r="EA116" s="90"/>
      <c r="EB116" s="188" t="e">
        <f t="shared" si="167"/>
        <v>#DIV/0!</v>
      </c>
      <c r="EC116" s="188" t="e">
        <f t="shared" si="167"/>
        <v>#DIV/0!</v>
      </c>
      <c r="ED116" s="188" t="e">
        <f t="shared" si="167"/>
        <v>#DIV/0!</v>
      </c>
      <c r="EE116" s="188" t="e">
        <f t="shared" si="167"/>
        <v>#DIV/0!</v>
      </c>
      <c r="EF116" s="146"/>
      <c r="EG116" s="90" t="str">
        <f>B116</f>
        <v>Total</v>
      </c>
      <c r="EH116" s="90"/>
      <c r="EI116" s="90"/>
      <c r="EJ116" s="90"/>
      <c r="EK116" s="90"/>
      <c r="EL116" s="90"/>
      <c r="EM116" s="90"/>
      <c r="EN116" s="90"/>
      <c r="EO116" s="90"/>
      <c r="EP116" s="188" t="e">
        <f t="shared" si="169"/>
        <v>#DIV/0!</v>
      </c>
      <c r="EQ116" s="188" t="e">
        <f t="shared" si="169"/>
        <v>#DIV/0!</v>
      </c>
      <c r="ER116" s="188" t="e">
        <f t="shared" si="169"/>
        <v>#DIV/0!</v>
      </c>
      <c r="ES116" s="188" t="e">
        <f t="shared" si="169"/>
        <v>#DIV/0!</v>
      </c>
      <c r="ET116" s="146"/>
      <c r="EU116" s="146"/>
      <c r="EV116" s="146"/>
      <c r="EW116" s="146"/>
      <c r="EX116" s="146"/>
      <c r="EY116" s="146"/>
      <c r="EZ116" s="146"/>
      <c r="FA116" s="146"/>
      <c r="FB116" s="146"/>
      <c r="FC116" s="146"/>
    </row>
    <row r="117" spans="2:159">
      <c r="O117" s="93"/>
      <c r="AC117" s="93"/>
      <c r="AD117" s="51"/>
      <c r="AE117" s="107"/>
      <c r="AF117" s="113"/>
      <c r="AG117" s="276"/>
      <c r="AH117" s="144"/>
      <c r="AI117" s="62"/>
      <c r="AJ117" s="62"/>
      <c r="AK117" s="62"/>
      <c r="AL117" s="62"/>
      <c r="AM117" s="111"/>
      <c r="AN117" s="111"/>
      <c r="AO117" s="111"/>
      <c r="AP117" s="111"/>
      <c r="AQ117" s="146"/>
      <c r="AR117" s="51"/>
      <c r="AS117" s="274"/>
      <c r="AT117" s="113"/>
      <c r="AU117" s="276"/>
      <c r="AV117" s="276"/>
      <c r="AW117" s="62"/>
      <c r="AX117" s="62"/>
      <c r="AY117" s="62"/>
      <c r="AZ117" s="62"/>
      <c r="BA117" s="111"/>
      <c r="BB117" s="111"/>
      <c r="BC117" s="111"/>
      <c r="BD117" s="142"/>
      <c r="BE117" s="51"/>
      <c r="BF117" s="51"/>
      <c r="BG117" s="51"/>
      <c r="BH117" s="51"/>
      <c r="BI117" s="51"/>
      <c r="BJ117" s="62"/>
      <c r="BK117" s="62"/>
      <c r="BL117" s="111"/>
      <c r="BM117" s="111"/>
      <c r="BN117" s="111"/>
      <c r="BO117" s="274"/>
      <c r="BP117" s="51"/>
      <c r="BQ117" s="274"/>
      <c r="BR117" s="113"/>
      <c r="BS117" s="276"/>
      <c r="BT117" s="276"/>
      <c r="BU117" s="62"/>
      <c r="BV117" s="62"/>
      <c r="BW117" s="62"/>
      <c r="BX117" s="62"/>
      <c r="BY117" s="111"/>
      <c r="BZ117" s="111"/>
      <c r="CA117" s="111"/>
      <c r="CB117" s="142"/>
      <c r="CC117" s="146"/>
      <c r="CD117" s="146"/>
      <c r="CE117" s="146"/>
      <c r="CF117" s="146"/>
      <c r="CG117" s="146"/>
      <c r="CH117" s="146"/>
      <c r="CI117" s="146"/>
      <c r="CJ117" s="146"/>
      <c r="CK117" s="146"/>
      <c r="CL117" s="146"/>
      <c r="CM117" s="146"/>
      <c r="CN117" s="146"/>
      <c r="CO117" s="146"/>
      <c r="CP117" s="146"/>
      <c r="CQ117" s="146"/>
      <c r="CR117" s="146"/>
      <c r="CS117" s="146"/>
      <c r="CT117" s="146"/>
      <c r="CU117" s="146"/>
      <c r="CV117" s="146"/>
      <c r="CW117" s="41"/>
      <c r="CX117" s="41"/>
      <c r="CY117" s="41"/>
      <c r="CZ117" s="41"/>
      <c r="DA117" s="41"/>
      <c r="DB117" s="41"/>
      <c r="DC117" s="31"/>
      <c r="DD117" s="146"/>
      <c r="DE117" s="51"/>
      <c r="DF117" s="274"/>
      <c r="DG117" s="113"/>
      <c r="DH117" s="276"/>
      <c r="DI117" s="144"/>
      <c r="DJ117" s="62"/>
      <c r="DK117" s="62"/>
      <c r="DL117" s="62"/>
      <c r="DM117" s="62"/>
      <c r="DN117" s="104"/>
      <c r="DO117" s="104"/>
      <c r="DP117" s="104"/>
      <c r="DQ117" s="142"/>
      <c r="DR117" s="146"/>
      <c r="DS117" s="142"/>
      <c r="DT117" s="142"/>
      <c r="DU117" s="142"/>
      <c r="DV117" s="142"/>
      <c r="DW117" s="142"/>
      <c r="DX117" s="142"/>
      <c r="DY117" s="41"/>
      <c r="DZ117" s="41"/>
      <c r="EA117" s="41"/>
      <c r="EB117" s="41"/>
      <c r="EC117" s="41"/>
      <c r="ED117" s="41"/>
      <c r="EE117" s="146"/>
      <c r="EF117" s="146"/>
      <c r="EG117" s="146"/>
      <c r="EH117" s="146"/>
      <c r="EI117" s="146"/>
      <c r="EJ117" s="146"/>
      <c r="EK117" s="146"/>
      <c r="EL117" s="146"/>
      <c r="EM117" s="146"/>
      <c r="EN117" s="146"/>
      <c r="EO117" s="146"/>
      <c r="EP117" s="146"/>
      <c r="EQ117" s="146"/>
      <c r="ER117" s="146"/>
      <c r="ES117" s="146"/>
      <c r="ET117" s="146"/>
      <c r="EU117" s="146"/>
      <c r="EV117" s="146"/>
      <c r="EW117" s="146"/>
      <c r="EX117" s="146"/>
      <c r="EY117" s="146"/>
      <c r="EZ117" s="146"/>
      <c r="FA117" s="146"/>
      <c r="FB117" s="146"/>
      <c r="FC117" s="146"/>
    </row>
    <row r="118" spans="2:159">
      <c r="O118" s="93"/>
      <c r="AC118" s="93"/>
      <c r="AD118" s="51"/>
      <c r="AE118" s="107"/>
      <c r="AF118" s="113"/>
      <c r="AG118" s="276"/>
      <c r="AH118" s="144"/>
      <c r="AI118" s="62"/>
      <c r="AJ118" s="62"/>
      <c r="AK118" s="62"/>
      <c r="AL118" s="62"/>
      <c r="AM118" s="111"/>
      <c r="AN118" s="111"/>
      <c r="AO118" s="111"/>
      <c r="AP118" s="111"/>
      <c r="AQ118" s="146"/>
      <c r="AR118" s="51"/>
      <c r="AS118" s="274"/>
      <c r="AT118" s="113"/>
      <c r="AU118" s="276"/>
      <c r="AV118" s="276"/>
      <c r="AW118" s="62"/>
      <c r="AX118" s="62"/>
      <c r="AY118" s="62"/>
      <c r="AZ118" s="62"/>
      <c r="BA118" s="111"/>
      <c r="BB118" s="111"/>
      <c r="BC118" s="111"/>
      <c r="BD118" s="142"/>
      <c r="BE118" s="51"/>
      <c r="BF118" s="51"/>
      <c r="BG118" s="51"/>
      <c r="BH118" s="51"/>
      <c r="BI118" s="51"/>
      <c r="BJ118" s="62"/>
      <c r="BK118" s="62"/>
      <c r="BL118" s="111"/>
      <c r="BM118" s="111"/>
      <c r="BN118" s="111"/>
      <c r="BO118" s="274"/>
      <c r="BP118" s="51"/>
      <c r="BQ118" s="274"/>
      <c r="BR118" s="113"/>
      <c r="BS118" s="276"/>
      <c r="BT118" s="276"/>
      <c r="BU118" s="62"/>
      <c r="BV118" s="62"/>
      <c r="BW118" s="62"/>
      <c r="BX118" s="62"/>
      <c r="BY118" s="111"/>
      <c r="BZ118" s="111"/>
      <c r="CA118" s="111"/>
      <c r="CB118" s="142"/>
      <c r="CC118" s="146"/>
      <c r="CD118" s="146"/>
      <c r="CE118" s="146"/>
      <c r="CF118" s="146"/>
      <c r="CG118" s="146"/>
      <c r="CH118" s="146"/>
      <c r="CI118" s="146"/>
      <c r="CJ118" s="146"/>
      <c r="CK118" s="146"/>
      <c r="CL118" s="146"/>
      <c r="CM118" s="146"/>
      <c r="CN118" s="146"/>
      <c r="CO118" s="146"/>
      <c r="CP118" s="146"/>
      <c r="CQ118" s="146"/>
      <c r="CR118" s="146"/>
      <c r="CS118" s="146"/>
      <c r="CT118" s="146"/>
      <c r="CU118" s="146"/>
      <c r="CV118" s="146"/>
      <c r="CW118" s="41"/>
      <c r="CX118" s="41"/>
      <c r="CY118" s="41"/>
      <c r="CZ118" s="41"/>
      <c r="DA118" s="41"/>
      <c r="DB118" s="41"/>
      <c r="DC118" s="31"/>
      <c r="DD118" s="146"/>
      <c r="DE118" s="51"/>
      <c r="DF118" s="274"/>
      <c r="DG118" s="113"/>
      <c r="DH118" s="276"/>
      <c r="DI118" s="144"/>
      <c r="DJ118" s="62"/>
      <c r="DK118" s="62"/>
      <c r="DL118" s="62"/>
      <c r="DM118" s="62"/>
      <c r="DN118" s="104"/>
      <c r="DO118" s="104"/>
      <c r="DP118" s="104"/>
      <c r="DQ118" s="142"/>
      <c r="DR118" s="146"/>
      <c r="DS118" s="142"/>
      <c r="DT118" s="142"/>
      <c r="DU118" s="142"/>
      <c r="DV118" s="142"/>
      <c r="DW118" s="142"/>
      <c r="DX118" s="142"/>
      <c r="DY118" s="41"/>
      <c r="DZ118" s="41"/>
      <c r="EA118" s="41"/>
      <c r="EB118" s="41"/>
      <c r="EC118" s="41"/>
      <c r="ED118" s="41"/>
      <c r="EE118" s="146"/>
      <c r="EF118" s="146"/>
      <c r="EG118" s="146"/>
      <c r="EH118" s="146"/>
      <c r="EI118" s="146"/>
      <c r="EJ118" s="146"/>
      <c r="EK118" s="146"/>
      <c r="EL118" s="146"/>
      <c r="EM118" s="146"/>
      <c r="EN118" s="146"/>
      <c r="EO118" s="146"/>
      <c r="EP118" s="146"/>
      <c r="EQ118" s="146"/>
      <c r="ER118" s="146"/>
      <c r="ES118" s="146"/>
      <c r="ET118" s="146"/>
      <c r="EU118" s="146"/>
      <c r="EV118" s="146"/>
      <c r="EW118" s="146"/>
      <c r="EX118" s="146"/>
      <c r="EY118" s="146"/>
      <c r="EZ118" s="146"/>
      <c r="FA118" s="146"/>
      <c r="FB118" s="146"/>
      <c r="FC118" s="146"/>
    </row>
    <row r="119" spans="2:159">
      <c r="B119" s="114"/>
      <c r="C119" s="43"/>
      <c r="D119" s="120"/>
      <c r="E119" s="121"/>
      <c r="F119" s="112"/>
      <c r="G119" s="98"/>
      <c r="H119" s="121"/>
      <c r="I119" s="62"/>
      <c r="J119" s="62"/>
      <c r="K119" s="62"/>
      <c r="L119" s="111"/>
      <c r="M119" s="111"/>
      <c r="N119" s="111"/>
      <c r="O119" s="93"/>
      <c r="AD119" s="93"/>
      <c r="AE119" s="114"/>
      <c r="AF119" s="57"/>
      <c r="AG119" s="58"/>
      <c r="AH119" s="57"/>
      <c r="AI119" s="57"/>
      <c r="AJ119" s="144"/>
      <c r="AK119" s="97"/>
      <c r="AL119" s="62"/>
      <c r="AM119" s="62"/>
      <c r="AN119" s="62"/>
      <c r="AO119" s="111"/>
      <c r="AP119" s="111"/>
      <c r="AQ119" s="146"/>
      <c r="AR119" s="114"/>
      <c r="AS119" s="142"/>
      <c r="AT119" s="142"/>
      <c r="AU119" s="142"/>
      <c r="AV119" s="142"/>
      <c r="AW119" s="142"/>
      <c r="AX119" s="142"/>
      <c r="AY119" s="142"/>
      <c r="AZ119" s="142"/>
      <c r="BA119" s="142"/>
      <c r="BB119" s="142"/>
      <c r="BC119" s="142"/>
      <c r="BD119" s="146"/>
      <c r="BE119" s="114"/>
      <c r="BF119" s="57"/>
      <c r="BG119" s="58"/>
      <c r="BH119" s="57"/>
      <c r="BI119" s="144"/>
      <c r="BJ119" s="97"/>
      <c r="BK119" s="62"/>
      <c r="BL119" s="62"/>
      <c r="BM119" s="62"/>
      <c r="BN119" s="111"/>
      <c r="BO119" s="111"/>
      <c r="BP119" s="146"/>
      <c r="BQ119" s="114"/>
      <c r="BR119" s="51"/>
      <c r="BS119" s="274"/>
      <c r="BT119" s="274"/>
      <c r="BU119" s="276"/>
      <c r="BV119" s="144"/>
      <c r="BW119" s="62"/>
      <c r="BX119" s="62"/>
      <c r="BY119" s="62"/>
      <c r="BZ119" s="62"/>
      <c r="CA119" s="111"/>
      <c r="CB119" s="146"/>
      <c r="CC119" s="146"/>
      <c r="CD119" s="114"/>
      <c r="CE119" s="57"/>
      <c r="CF119" s="58"/>
      <c r="CG119" s="57"/>
      <c r="CH119" s="57"/>
      <c r="CI119" s="144"/>
      <c r="CJ119" s="97"/>
      <c r="CK119" s="62"/>
      <c r="CL119" s="62"/>
      <c r="CM119" s="62"/>
      <c r="CN119" s="111"/>
      <c r="CO119" s="111"/>
      <c r="CP119" s="111"/>
      <c r="CQ119" s="146"/>
      <c r="CR119" s="114"/>
      <c r="CS119" s="146"/>
      <c r="CT119" s="146"/>
      <c r="CU119" s="146"/>
      <c r="CV119" s="146"/>
      <c r="CW119" s="146"/>
      <c r="CX119" s="146"/>
      <c r="CY119" s="146"/>
      <c r="CZ119" s="146"/>
      <c r="DA119" s="146"/>
      <c r="DB119" s="146"/>
      <c r="DC119" s="146"/>
      <c r="DD119" s="146"/>
      <c r="DE119" s="41"/>
      <c r="DF119" s="41"/>
      <c r="DG119" s="41"/>
      <c r="DH119" s="41"/>
      <c r="DI119" s="41"/>
      <c r="DJ119" s="41"/>
      <c r="DK119" s="41"/>
      <c r="DL119" s="41"/>
      <c r="DM119" s="41"/>
      <c r="DN119" s="41"/>
      <c r="DO119" s="41"/>
      <c r="DP119" s="41"/>
      <c r="DQ119" s="41"/>
      <c r="DR119" s="41"/>
      <c r="DS119" s="146"/>
      <c r="DT119" s="146"/>
      <c r="DU119" s="146"/>
      <c r="DV119" s="146"/>
      <c r="DW119" s="146"/>
      <c r="DX119" s="146"/>
      <c r="DY119" s="146"/>
      <c r="DZ119" s="146"/>
      <c r="EA119" s="146"/>
      <c r="EB119" s="146"/>
      <c r="EC119" s="146"/>
      <c r="ED119" s="146"/>
      <c r="EE119" s="146"/>
      <c r="EF119" s="146"/>
      <c r="EG119" s="146"/>
      <c r="EH119" s="146"/>
      <c r="EI119" s="146"/>
      <c r="EJ119" s="146"/>
      <c r="EK119" s="146"/>
      <c r="EL119" s="146"/>
      <c r="EM119" s="146"/>
      <c r="EN119" s="146"/>
      <c r="EO119" s="146"/>
      <c r="EP119" s="146"/>
      <c r="EQ119" s="146"/>
      <c r="ER119" s="146"/>
      <c r="ES119" s="146"/>
      <c r="ET119" s="146"/>
      <c r="EU119" s="146"/>
      <c r="EV119" s="146"/>
      <c r="EW119" s="146"/>
      <c r="EX119" s="146"/>
      <c r="EY119" s="146"/>
      <c r="EZ119" s="146"/>
      <c r="FA119" s="146"/>
      <c r="FB119" s="146"/>
      <c r="FC119" s="146"/>
    </row>
    <row r="120" spans="2:159">
      <c r="B120" s="114"/>
      <c r="C120" s="43"/>
      <c r="D120" s="120"/>
      <c r="E120" s="121"/>
      <c r="F120" s="44"/>
      <c r="G120" s="98"/>
      <c r="H120" s="121"/>
      <c r="I120" s="62"/>
      <c r="J120" s="62"/>
      <c r="K120" s="62"/>
      <c r="L120" s="111"/>
      <c r="M120" s="111"/>
      <c r="N120" s="111"/>
      <c r="O120" s="93"/>
      <c r="AD120" s="93"/>
      <c r="AE120" s="114"/>
      <c r="AF120" s="56"/>
      <c r="AG120" s="268"/>
      <c r="AH120" s="97"/>
      <c r="AI120" s="144"/>
      <c r="AJ120" s="144"/>
      <c r="AK120" s="97"/>
      <c r="AL120" s="62"/>
      <c r="AM120" s="62"/>
      <c r="AN120" s="62"/>
      <c r="AO120" s="111"/>
      <c r="AP120" s="111"/>
      <c r="AQ120" s="146"/>
      <c r="AR120" s="114"/>
      <c r="AS120" s="95"/>
      <c r="AT120" s="54"/>
      <c r="AU120" s="53"/>
      <c r="AV120" s="53"/>
      <c r="AW120" s="52"/>
      <c r="AX120" s="123"/>
      <c r="AY120" s="123"/>
      <c r="AZ120" s="123"/>
      <c r="BA120" s="124"/>
      <c r="BB120" s="124"/>
      <c r="BC120" s="124"/>
      <c r="BD120" s="146"/>
      <c r="BE120" s="114"/>
      <c r="BF120" s="56"/>
      <c r="BG120" s="268"/>
      <c r="BH120" s="97"/>
      <c r="BI120" s="144"/>
      <c r="BJ120" s="97"/>
      <c r="BK120" s="62"/>
      <c r="BL120" s="62"/>
      <c r="BM120" s="62"/>
      <c r="BN120" s="111"/>
      <c r="BO120" s="111"/>
      <c r="BP120" s="146"/>
      <c r="BQ120" s="114"/>
      <c r="BR120" s="51"/>
      <c r="BS120" s="274"/>
      <c r="BT120" s="274"/>
      <c r="BU120" s="276"/>
      <c r="BV120" s="144"/>
      <c r="BW120" s="62"/>
      <c r="BX120" s="62"/>
      <c r="BY120" s="62"/>
      <c r="BZ120" s="62"/>
      <c r="CA120" s="111"/>
      <c r="CB120" s="146"/>
      <c r="CC120" s="146"/>
      <c r="CD120" s="114"/>
      <c r="CE120" s="56"/>
      <c r="CF120" s="268"/>
      <c r="CG120" s="97"/>
      <c r="CH120" s="144"/>
      <c r="CI120" s="144"/>
      <c r="CJ120" s="97"/>
      <c r="CK120" s="62"/>
      <c r="CL120" s="62"/>
      <c r="CM120" s="62"/>
      <c r="CN120" s="111"/>
      <c r="CO120" s="111"/>
      <c r="CP120" s="111"/>
      <c r="CQ120" s="146"/>
      <c r="CR120" s="114"/>
      <c r="CS120" s="146"/>
      <c r="CT120" s="146"/>
      <c r="CU120" s="146"/>
      <c r="CV120" s="146"/>
      <c r="CW120" s="146"/>
      <c r="CX120" s="146"/>
      <c r="CY120" s="146"/>
      <c r="CZ120" s="146"/>
      <c r="DA120" s="146"/>
      <c r="DB120" s="146"/>
      <c r="DC120" s="146"/>
      <c r="DD120" s="146"/>
      <c r="DE120" s="149"/>
      <c r="DF120" s="149"/>
      <c r="DG120" s="149"/>
      <c r="DH120" s="149"/>
      <c r="DI120" s="149"/>
      <c r="DJ120" s="149"/>
      <c r="DK120" s="149"/>
      <c r="DL120" s="149"/>
      <c r="DM120" s="149"/>
      <c r="DN120" s="149"/>
      <c r="DO120" s="149"/>
      <c r="DP120" s="149"/>
      <c r="DQ120" s="149"/>
      <c r="DR120" s="41"/>
      <c r="DS120" s="146"/>
      <c r="DT120" s="146"/>
      <c r="DU120" s="146"/>
      <c r="DV120" s="146"/>
      <c r="DW120" s="146"/>
      <c r="DX120" s="146"/>
      <c r="DY120" s="146"/>
      <c r="DZ120" s="146"/>
      <c r="EA120" s="146"/>
      <c r="EB120" s="146"/>
      <c r="EC120" s="146"/>
      <c r="ED120" s="146"/>
      <c r="EE120" s="146"/>
      <c r="EF120" s="146"/>
      <c r="EG120" s="146"/>
      <c r="EH120" s="146"/>
      <c r="EI120" s="146"/>
      <c r="EJ120" s="146"/>
      <c r="EK120" s="146"/>
      <c r="EL120" s="146"/>
      <c r="EM120" s="146"/>
      <c r="EN120" s="146"/>
      <c r="EO120" s="146"/>
      <c r="EP120" s="146"/>
      <c r="EQ120" s="146"/>
      <c r="ER120" s="146"/>
      <c r="ES120" s="146"/>
      <c r="ET120" s="146"/>
      <c r="EU120" s="146"/>
      <c r="EV120" s="146"/>
      <c r="EW120" s="146"/>
      <c r="EX120" s="146"/>
      <c r="EY120" s="146"/>
      <c r="EZ120" s="146"/>
      <c r="FA120" s="146"/>
      <c r="FB120" s="146"/>
      <c r="FC120" s="146"/>
    </row>
    <row r="121" spans="2:159">
      <c r="B121" s="125"/>
      <c r="C121" s="48"/>
      <c r="D121" s="120"/>
      <c r="E121" s="121"/>
      <c r="F121" s="44"/>
      <c r="G121" s="98"/>
      <c r="H121" s="121"/>
      <c r="I121" s="62"/>
      <c r="J121" s="62"/>
      <c r="K121" s="62"/>
      <c r="L121" s="111"/>
      <c r="M121" s="111"/>
      <c r="N121" s="111"/>
      <c r="O121" s="93"/>
      <c r="AD121" s="93"/>
      <c r="AE121" s="125"/>
      <c r="AF121" s="56"/>
      <c r="AG121" s="268"/>
      <c r="AH121" s="97"/>
      <c r="AI121" s="144"/>
      <c r="AJ121" s="144"/>
      <c r="AK121" s="97"/>
      <c r="AL121" s="62"/>
      <c r="AM121" s="62"/>
      <c r="AN121" s="62"/>
      <c r="AO121" s="111"/>
      <c r="AP121" s="111"/>
      <c r="AQ121" s="146"/>
      <c r="AR121" s="279"/>
      <c r="AS121" s="50"/>
      <c r="AT121" s="50"/>
      <c r="AU121" s="144"/>
      <c r="AV121" s="144"/>
      <c r="AW121" s="97"/>
      <c r="AX121" s="97"/>
      <c r="AY121" s="97"/>
      <c r="AZ121" s="97"/>
      <c r="BA121" s="104"/>
      <c r="BB121" s="104"/>
      <c r="BC121" s="104"/>
      <c r="BD121" s="146"/>
      <c r="BE121" s="279"/>
      <c r="BF121" s="56"/>
      <c r="BG121" s="268"/>
      <c r="BH121" s="97"/>
      <c r="BI121" s="144"/>
      <c r="BJ121" s="97"/>
      <c r="BK121" s="62"/>
      <c r="BL121" s="62"/>
      <c r="BM121" s="62"/>
      <c r="BN121" s="111"/>
      <c r="BO121" s="111"/>
      <c r="BP121" s="146"/>
      <c r="BQ121" s="279"/>
      <c r="BR121" s="51"/>
      <c r="BS121" s="274"/>
      <c r="BT121" s="274"/>
      <c r="BU121" s="276"/>
      <c r="BV121" s="144"/>
      <c r="BW121" s="62"/>
      <c r="BX121" s="62"/>
      <c r="BY121" s="62"/>
      <c r="BZ121" s="62"/>
      <c r="CA121" s="111"/>
      <c r="CB121" s="146"/>
      <c r="CC121" s="146"/>
      <c r="CD121" s="279"/>
      <c r="CE121" s="56"/>
      <c r="CF121" s="268"/>
      <c r="CG121" s="97"/>
      <c r="CH121" s="144"/>
      <c r="CI121" s="144"/>
      <c r="CJ121" s="97"/>
      <c r="CK121" s="62"/>
      <c r="CL121" s="62"/>
      <c r="CM121" s="62"/>
      <c r="CN121" s="111"/>
      <c r="CO121" s="111"/>
      <c r="CP121" s="111"/>
      <c r="CQ121" s="146"/>
      <c r="CR121" s="279"/>
      <c r="CS121" s="146"/>
      <c r="CT121" s="146"/>
      <c r="CU121" s="146"/>
      <c r="CV121" s="146"/>
      <c r="CW121" s="146"/>
      <c r="CX121" s="146"/>
      <c r="CY121" s="146"/>
      <c r="CZ121" s="146"/>
      <c r="DA121" s="146"/>
      <c r="DB121" s="146"/>
      <c r="DC121" s="146"/>
      <c r="DD121" s="146"/>
      <c r="DE121" s="41"/>
      <c r="DF121" s="41"/>
      <c r="DG121" s="41"/>
      <c r="DH121" s="41"/>
      <c r="DI121" s="41"/>
      <c r="DJ121" s="41"/>
      <c r="DK121" s="41"/>
      <c r="DL121" s="41"/>
      <c r="DM121" s="41"/>
      <c r="DN121" s="41"/>
      <c r="DO121" s="41"/>
      <c r="DP121" s="41"/>
      <c r="DQ121" s="41"/>
      <c r="DR121" s="41"/>
      <c r="DS121" s="146"/>
      <c r="DT121" s="146"/>
      <c r="DU121" s="146"/>
      <c r="DV121" s="146"/>
      <c r="DW121" s="146"/>
      <c r="DX121" s="146"/>
      <c r="DY121" s="146"/>
      <c r="DZ121" s="146"/>
      <c r="EA121" s="146"/>
      <c r="EB121" s="146"/>
      <c r="EC121" s="146"/>
      <c r="ED121" s="146"/>
      <c r="EE121" s="146"/>
      <c r="EF121" s="146"/>
      <c r="EG121" s="146"/>
      <c r="EH121" s="146"/>
      <c r="EI121" s="146"/>
      <c r="EJ121" s="146"/>
      <c r="EK121" s="146"/>
      <c r="EL121" s="146"/>
      <c r="EM121" s="146"/>
      <c r="EN121" s="146"/>
      <c r="EO121" s="146"/>
      <c r="EP121" s="146"/>
      <c r="EQ121" s="146"/>
      <c r="ER121" s="146"/>
      <c r="ES121" s="146"/>
      <c r="ET121" s="146"/>
      <c r="EU121" s="146"/>
      <c r="EV121" s="146"/>
      <c r="EW121" s="146"/>
      <c r="EX121" s="146"/>
      <c r="EY121" s="146"/>
      <c r="EZ121" s="146"/>
      <c r="FA121" s="146"/>
      <c r="FB121" s="146"/>
      <c r="FC121" s="142"/>
    </row>
    <row r="122" spans="2:159">
      <c r="B122" s="125"/>
      <c r="C122" s="48"/>
      <c r="D122" s="120"/>
      <c r="E122" s="121"/>
      <c r="F122" s="112"/>
      <c r="G122" s="98"/>
      <c r="H122" s="97"/>
      <c r="I122" s="62"/>
      <c r="J122" s="62"/>
      <c r="K122" s="62"/>
      <c r="L122" s="111"/>
      <c r="M122" s="111"/>
      <c r="N122" s="111"/>
      <c r="O122" s="93"/>
      <c r="AD122" s="93"/>
      <c r="AE122" s="55"/>
      <c r="AF122" s="56"/>
      <c r="AG122" s="268"/>
      <c r="AH122" s="97"/>
      <c r="AI122" s="144"/>
      <c r="AJ122" s="144"/>
      <c r="AK122" s="144"/>
      <c r="AL122" s="144"/>
      <c r="AM122" s="144"/>
      <c r="AN122" s="144"/>
      <c r="AO122" s="111"/>
      <c r="AP122" s="111"/>
      <c r="AQ122" s="146"/>
      <c r="AR122" s="55"/>
      <c r="AS122" s="95"/>
      <c r="AT122" s="48"/>
      <c r="AU122" s="115"/>
      <c r="AV122" s="115"/>
      <c r="AW122" s="48"/>
      <c r="AX122" s="48"/>
      <c r="AY122" s="48"/>
      <c r="AZ122" s="48"/>
      <c r="BA122" s="110"/>
      <c r="BB122" s="110"/>
      <c r="BC122" s="110"/>
      <c r="BD122" s="146"/>
      <c r="BE122" s="55"/>
      <c r="BF122" s="56"/>
      <c r="BG122" s="268"/>
      <c r="BH122" s="97"/>
      <c r="BI122" s="144"/>
      <c r="BJ122" s="144"/>
      <c r="BK122" s="144"/>
      <c r="BL122" s="144"/>
      <c r="BM122" s="144"/>
      <c r="BN122" s="111"/>
      <c r="BO122" s="111"/>
      <c r="BP122" s="146"/>
      <c r="BQ122" s="55"/>
      <c r="BR122" s="51"/>
      <c r="BS122" s="277"/>
      <c r="BT122" s="277"/>
      <c r="BU122" s="144"/>
      <c r="BV122" s="144"/>
      <c r="BW122" s="97"/>
      <c r="BX122" s="62"/>
      <c r="BY122" s="62"/>
      <c r="BZ122" s="62"/>
      <c r="CA122" s="111"/>
      <c r="CB122" s="146"/>
      <c r="CC122" s="146"/>
      <c r="CD122" s="55"/>
      <c r="CE122" s="56"/>
      <c r="CF122" s="268"/>
      <c r="CG122" s="97"/>
      <c r="CH122" s="144"/>
      <c r="CI122" s="144"/>
      <c r="CJ122" s="144"/>
      <c r="CK122" s="144"/>
      <c r="CL122" s="144"/>
      <c r="CM122" s="144"/>
      <c r="CN122" s="111"/>
      <c r="CO122" s="111"/>
      <c r="CP122" s="111"/>
      <c r="CQ122" s="146"/>
      <c r="CR122" s="55"/>
      <c r="CS122" s="146"/>
      <c r="CT122" s="146"/>
      <c r="CU122" s="146"/>
      <c r="CV122" s="146"/>
      <c r="CW122" s="146"/>
      <c r="CX122" s="146"/>
      <c r="CY122" s="146"/>
      <c r="CZ122" s="146"/>
      <c r="DA122" s="146"/>
      <c r="DB122" s="146"/>
      <c r="DC122" s="146"/>
      <c r="DD122" s="146"/>
      <c r="DE122" s="41"/>
      <c r="DF122" s="41"/>
      <c r="DG122" s="41"/>
      <c r="DH122" s="41"/>
      <c r="DI122" s="41"/>
      <c r="DJ122" s="41"/>
      <c r="DK122" s="41"/>
      <c r="DL122" s="41"/>
      <c r="DM122" s="41"/>
      <c r="DN122" s="41"/>
      <c r="DO122" s="41"/>
      <c r="DP122" s="41"/>
      <c r="DQ122" s="41"/>
      <c r="DR122" s="41"/>
      <c r="DS122" s="146"/>
      <c r="DT122" s="146"/>
      <c r="DU122" s="146"/>
      <c r="DV122" s="146"/>
      <c r="DW122" s="146"/>
      <c r="DX122" s="146"/>
      <c r="DY122" s="146"/>
      <c r="DZ122" s="146"/>
      <c r="EA122" s="146"/>
      <c r="EB122" s="146"/>
      <c r="EC122" s="146"/>
      <c r="ED122" s="146"/>
      <c r="EE122" s="146"/>
      <c r="EF122" s="146"/>
      <c r="EG122" s="146"/>
      <c r="EH122" s="146"/>
      <c r="EI122" s="146"/>
      <c r="EJ122" s="146"/>
      <c r="EK122" s="146"/>
      <c r="EL122" s="146"/>
      <c r="EM122" s="146"/>
      <c r="EN122" s="146"/>
      <c r="EO122" s="146"/>
      <c r="EP122" s="146"/>
      <c r="EQ122" s="146"/>
      <c r="ER122" s="146"/>
      <c r="ES122" s="146"/>
      <c r="ET122" s="146"/>
      <c r="EU122" s="146"/>
      <c r="EV122" s="146"/>
      <c r="EW122" s="146"/>
      <c r="EX122" s="146"/>
      <c r="EY122" s="146"/>
      <c r="EZ122" s="146"/>
      <c r="FA122" s="146"/>
      <c r="FB122" s="146"/>
      <c r="FC122" s="142"/>
    </row>
    <row r="123" spans="2:159">
      <c r="B123" s="46"/>
      <c r="C123" s="48"/>
      <c r="D123" s="120"/>
      <c r="E123" s="121"/>
      <c r="F123" s="44"/>
      <c r="G123" s="98"/>
      <c r="H123" s="97"/>
      <c r="I123" s="62"/>
      <c r="J123" s="62"/>
      <c r="K123" s="62"/>
      <c r="L123" s="111"/>
      <c r="M123" s="111"/>
      <c r="N123" s="111"/>
      <c r="O123" s="93"/>
      <c r="AD123" s="93"/>
      <c r="AE123" s="125"/>
      <c r="AF123" s="56"/>
      <c r="AG123" s="268"/>
      <c r="AH123" s="97"/>
      <c r="AI123" s="144"/>
      <c r="AJ123" s="144"/>
      <c r="AK123" s="144"/>
      <c r="AL123" s="144"/>
      <c r="AM123" s="144"/>
      <c r="AN123" s="144"/>
      <c r="AO123" s="111"/>
      <c r="AP123" s="111"/>
      <c r="AQ123" s="146"/>
      <c r="AR123" s="279"/>
      <c r="AS123" s="142"/>
      <c r="AT123" s="142"/>
      <c r="AU123" s="142"/>
      <c r="AV123" s="142"/>
      <c r="AW123" s="142"/>
      <c r="AX123" s="142"/>
      <c r="AY123" s="142"/>
      <c r="AZ123" s="142"/>
      <c r="BA123" s="142"/>
      <c r="BB123" s="142"/>
      <c r="BC123" s="142"/>
      <c r="BD123" s="146"/>
      <c r="BE123" s="279"/>
      <c r="BF123" s="56"/>
      <c r="BG123" s="268"/>
      <c r="BH123" s="97"/>
      <c r="BI123" s="144"/>
      <c r="BJ123" s="144"/>
      <c r="BK123" s="144"/>
      <c r="BL123" s="144"/>
      <c r="BM123" s="144"/>
      <c r="BN123" s="111"/>
      <c r="BO123" s="111"/>
      <c r="BP123" s="146"/>
      <c r="BQ123" s="279"/>
      <c r="BR123" s="57"/>
      <c r="BS123" s="58"/>
      <c r="BT123" s="58"/>
      <c r="BU123" s="57"/>
      <c r="BV123" s="144"/>
      <c r="BW123" s="97"/>
      <c r="BX123" s="62"/>
      <c r="BY123" s="62"/>
      <c r="BZ123" s="62"/>
      <c r="CA123" s="111"/>
      <c r="CB123" s="146"/>
      <c r="CC123" s="146"/>
      <c r="CD123" s="279"/>
      <c r="CE123" s="56"/>
      <c r="CF123" s="268"/>
      <c r="CG123" s="97"/>
      <c r="CH123" s="144"/>
      <c r="CI123" s="144"/>
      <c r="CJ123" s="144"/>
      <c r="CK123" s="144"/>
      <c r="CL123" s="144"/>
      <c r="CM123" s="144"/>
      <c r="CN123" s="111"/>
      <c r="CO123" s="111"/>
      <c r="CP123" s="111"/>
      <c r="CQ123" s="146"/>
      <c r="CR123" s="142"/>
      <c r="CS123" s="146"/>
      <c r="CT123" s="146"/>
      <c r="CU123" s="146"/>
      <c r="CV123" s="146"/>
      <c r="CW123" s="146"/>
      <c r="CX123" s="146"/>
      <c r="CY123" s="146"/>
      <c r="CZ123" s="146"/>
      <c r="DA123" s="146"/>
      <c r="DB123" s="146"/>
      <c r="DC123" s="146"/>
      <c r="DD123" s="146"/>
      <c r="DE123" s="41"/>
      <c r="DF123" s="41"/>
      <c r="DG123" s="41"/>
      <c r="DH123" s="41"/>
      <c r="DI123" s="41"/>
      <c r="DJ123" s="41"/>
      <c r="DK123" s="41"/>
      <c r="DL123" s="41"/>
      <c r="DM123" s="41"/>
      <c r="DN123" s="41"/>
      <c r="DO123" s="41"/>
      <c r="DP123" s="41"/>
      <c r="DQ123" s="41"/>
      <c r="DR123" s="41"/>
      <c r="DS123" s="146"/>
      <c r="DT123" s="146"/>
      <c r="DU123" s="146"/>
      <c r="DV123" s="146"/>
      <c r="DW123" s="146"/>
      <c r="DX123" s="146"/>
      <c r="DY123" s="146"/>
      <c r="DZ123" s="146"/>
      <c r="EA123" s="146"/>
      <c r="EB123" s="146"/>
      <c r="EC123" s="146"/>
      <c r="ED123" s="146"/>
      <c r="EE123" s="146"/>
      <c r="EF123" s="146"/>
      <c r="EG123" s="146"/>
      <c r="EH123" s="146"/>
      <c r="EI123" s="146"/>
      <c r="EJ123" s="146"/>
      <c r="EK123" s="146"/>
      <c r="EL123" s="146"/>
      <c r="EM123" s="146"/>
      <c r="EN123" s="146"/>
      <c r="EO123" s="146"/>
      <c r="EP123" s="146"/>
      <c r="EQ123" s="146"/>
      <c r="ER123" s="146"/>
      <c r="ES123" s="146"/>
      <c r="ET123" s="146"/>
      <c r="EU123" s="146"/>
      <c r="EV123" s="146"/>
      <c r="EW123" s="146"/>
      <c r="EX123" s="146"/>
      <c r="EY123" s="146"/>
      <c r="EZ123" s="146"/>
      <c r="FA123" s="146"/>
      <c r="FB123" s="146"/>
      <c r="FC123" s="142"/>
    </row>
    <row r="124" spans="2:159">
      <c r="B124" s="45"/>
      <c r="C124" s="48"/>
      <c r="D124" s="120"/>
      <c r="E124" s="126"/>
      <c r="F124" s="44"/>
      <c r="G124" s="98"/>
      <c r="H124" s="97"/>
      <c r="I124" s="62"/>
      <c r="J124" s="62"/>
      <c r="K124" s="62"/>
      <c r="L124" s="111"/>
      <c r="M124" s="111"/>
      <c r="N124" s="111"/>
      <c r="O124" s="93"/>
      <c r="AD124" s="93"/>
      <c r="AE124" s="125"/>
      <c r="AF124" s="56"/>
      <c r="AG124" s="268"/>
      <c r="AH124" s="97"/>
      <c r="AI124" s="144"/>
      <c r="AJ124" s="144"/>
      <c r="AK124" s="144"/>
      <c r="AL124" s="144"/>
      <c r="AM124" s="144"/>
      <c r="AN124" s="144"/>
      <c r="AO124" s="111"/>
      <c r="AP124" s="111"/>
      <c r="AQ124" s="146"/>
      <c r="AR124" s="279"/>
      <c r="AS124" s="142"/>
      <c r="AT124" s="142"/>
      <c r="AU124" s="142"/>
      <c r="AV124" s="142"/>
      <c r="AW124" s="142"/>
      <c r="AX124" s="142"/>
      <c r="AY124" s="142"/>
      <c r="AZ124" s="142"/>
      <c r="BA124" s="142"/>
      <c r="BB124" s="142"/>
      <c r="BC124" s="142"/>
      <c r="BD124" s="146"/>
      <c r="BE124" s="279"/>
      <c r="BF124" s="56"/>
      <c r="BG124" s="268"/>
      <c r="BH124" s="97"/>
      <c r="BI124" s="144"/>
      <c r="BJ124" s="144"/>
      <c r="BK124" s="144"/>
      <c r="BL124" s="144"/>
      <c r="BM124" s="144"/>
      <c r="BN124" s="111"/>
      <c r="BO124" s="111"/>
      <c r="BP124" s="146"/>
      <c r="BQ124" s="279"/>
      <c r="BR124" s="56"/>
      <c r="BS124" s="268"/>
      <c r="BT124" s="268"/>
      <c r="BU124" s="144"/>
      <c r="BV124" s="144"/>
      <c r="BW124" s="97"/>
      <c r="BX124" s="62"/>
      <c r="BY124" s="62"/>
      <c r="BZ124" s="62"/>
      <c r="CA124" s="111"/>
      <c r="CB124" s="146"/>
      <c r="CC124" s="146"/>
      <c r="CD124" s="279"/>
      <c r="CE124" s="56"/>
      <c r="CF124" s="268"/>
      <c r="CG124" s="97"/>
      <c r="CH124" s="144"/>
      <c r="CI124" s="144"/>
      <c r="CJ124" s="144"/>
      <c r="CK124" s="144"/>
      <c r="CL124" s="144"/>
      <c r="CM124" s="144"/>
      <c r="CN124" s="111"/>
      <c r="CO124" s="111"/>
      <c r="CP124" s="111"/>
      <c r="CQ124" s="146"/>
      <c r="CR124" s="142"/>
      <c r="CS124" s="146"/>
      <c r="CT124" s="146"/>
      <c r="CU124" s="146"/>
      <c r="CV124" s="146"/>
      <c r="CW124" s="146"/>
      <c r="CX124" s="146"/>
      <c r="CY124" s="146"/>
      <c r="CZ124" s="146"/>
      <c r="DA124" s="146"/>
      <c r="DB124" s="146"/>
      <c r="DC124" s="146"/>
      <c r="DD124" s="146"/>
      <c r="DE124" s="41"/>
      <c r="DF124" s="41"/>
      <c r="DG124" s="41"/>
      <c r="DH124" s="41"/>
      <c r="DI124" s="41"/>
      <c r="DJ124" s="41"/>
      <c r="DK124" s="41"/>
      <c r="DL124" s="41"/>
      <c r="DM124" s="41"/>
      <c r="DN124" s="41"/>
      <c r="DO124" s="41"/>
      <c r="DP124" s="41"/>
      <c r="DQ124" s="41"/>
      <c r="DR124" s="41"/>
      <c r="DS124" s="146"/>
      <c r="DT124" s="146"/>
      <c r="DU124" s="146"/>
      <c r="DV124" s="146"/>
      <c r="DW124" s="146"/>
      <c r="DX124" s="146"/>
      <c r="DY124" s="146"/>
      <c r="DZ124" s="146"/>
      <c r="EA124" s="146"/>
      <c r="EB124" s="146"/>
      <c r="EC124" s="146"/>
      <c r="ED124" s="146"/>
      <c r="EE124" s="146"/>
      <c r="EF124" s="146"/>
      <c r="EG124" s="146"/>
      <c r="EH124" s="146"/>
      <c r="EI124" s="146"/>
      <c r="EJ124" s="146"/>
      <c r="EK124" s="146"/>
      <c r="EL124" s="146"/>
      <c r="EM124" s="146"/>
      <c r="EN124" s="146"/>
      <c r="EO124" s="146"/>
      <c r="EP124" s="146"/>
      <c r="EQ124" s="146"/>
      <c r="ER124" s="146"/>
      <c r="ES124" s="146"/>
      <c r="ET124" s="146"/>
      <c r="EU124" s="146"/>
      <c r="EV124" s="146"/>
      <c r="EW124" s="146"/>
      <c r="EX124" s="146"/>
      <c r="EY124" s="146"/>
      <c r="EZ124" s="146"/>
      <c r="FA124" s="146"/>
      <c r="FB124" s="146"/>
      <c r="FC124" s="146"/>
    </row>
    <row r="125" spans="2:159">
      <c r="B125" s="125"/>
      <c r="C125" s="48"/>
      <c r="D125" s="120"/>
      <c r="E125" s="121"/>
      <c r="F125" s="112"/>
      <c r="G125" s="98"/>
      <c r="H125" s="97"/>
      <c r="I125" s="62"/>
      <c r="J125" s="62"/>
      <c r="K125" s="62"/>
      <c r="L125" s="111"/>
      <c r="M125" s="111"/>
      <c r="N125" s="111"/>
      <c r="O125" s="93"/>
      <c r="AD125" s="93"/>
      <c r="AE125" s="125"/>
      <c r="AF125" s="56"/>
      <c r="AG125" s="268"/>
      <c r="AH125" s="97"/>
      <c r="AI125" s="144"/>
      <c r="AJ125" s="144"/>
      <c r="AK125" s="144"/>
      <c r="AL125" s="144"/>
      <c r="AM125" s="144"/>
      <c r="AN125" s="144"/>
      <c r="AO125" s="111"/>
      <c r="AP125" s="111"/>
      <c r="AQ125" s="146"/>
      <c r="AR125" s="279"/>
      <c r="AS125" s="142"/>
      <c r="AT125" s="142"/>
      <c r="AU125" s="142"/>
      <c r="AV125" s="142"/>
      <c r="AW125" s="142"/>
      <c r="AX125" s="142"/>
      <c r="AY125" s="142"/>
      <c r="AZ125" s="142"/>
      <c r="BA125" s="142"/>
      <c r="BB125" s="142"/>
      <c r="BC125" s="142"/>
      <c r="BD125" s="146"/>
      <c r="BE125" s="279"/>
      <c r="BF125" s="56"/>
      <c r="BG125" s="268"/>
      <c r="BH125" s="97"/>
      <c r="BI125" s="144"/>
      <c r="BJ125" s="144"/>
      <c r="BK125" s="144"/>
      <c r="BL125" s="144"/>
      <c r="BM125" s="144"/>
      <c r="BN125" s="111"/>
      <c r="BO125" s="111"/>
      <c r="BP125" s="146"/>
      <c r="BQ125" s="279"/>
      <c r="BR125" s="56"/>
      <c r="BS125" s="268"/>
      <c r="BT125" s="268"/>
      <c r="BU125" s="144"/>
      <c r="BV125" s="144"/>
      <c r="BW125" s="97"/>
      <c r="BX125" s="62"/>
      <c r="BY125" s="62"/>
      <c r="BZ125" s="62"/>
      <c r="CA125" s="111"/>
      <c r="CB125" s="146"/>
      <c r="CC125" s="146"/>
      <c r="CD125" s="279"/>
      <c r="CE125" s="56"/>
      <c r="CF125" s="268"/>
      <c r="CG125" s="97"/>
      <c r="CH125" s="144"/>
      <c r="CI125" s="144"/>
      <c r="CJ125" s="144"/>
      <c r="CK125" s="144"/>
      <c r="CL125" s="144"/>
      <c r="CM125" s="144"/>
      <c r="CN125" s="111"/>
      <c r="CO125" s="111"/>
      <c r="CP125" s="111"/>
      <c r="CQ125" s="146"/>
      <c r="CR125" s="142"/>
      <c r="CS125" s="146"/>
      <c r="CT125" s="146"/>
      <c r="CU125" s="146"/>
      <c r="CV125" s="146"/>
      <c r="CW125" s="146"/>
      <c r="CX125" s="146"/>
      <c r="CY125" s="146"/>
      <c r="CZ125" s="146"/>
      <c r="DA125" s="146"/>
      <c r="DB125" s="146"/>
      <c r="DC125" s="146"/>
      <c r="DD125" s="146"/>
      <c r="DE125" s="41"/>
      <c r="DF125" s="41"/>
      <c r="DG125" s="41"/>
      <c r="DH125" s="41"/>
      <c r="DI125" s="41"/>
      <c r="DJ125" s="41"/>
      <c r="DK125" s="41"/>
      <c r="DL125" s="41"/>
      <c r="DM125" s="41"/>
      <c r="DN125" s="41"/>
      <c r="DO125" s="41"/>
      <c r="DP125" s="41"/>
      <c r="DQ125" s="41"/>
      <c r="DR125" s="41"/>
      <c r="DS125" s="146"/>
      <c r="DT125" s="146"/>
      <c r="DU125" s="146"/>
      <c r="DV125" s="146"/>
      <c r="DW125" s="146"/>
      <c r="DX125" s="146"/>
      <c r="DY125" s="146"/>
      <c r="DZ125" s="146"/>
      <c r="EA125" s="146"/>
      <c r="EB125" s="146"/>
      <c r="EC125" s="146"/>
      <c r="ED125" s="146"/>
      <c r="EE125" s="146"/>
      <c r="EF125" s="146"/>
      <c r="EG125" s="146"/>
      <c r="EH125" s="146"/>
      <c r="EI125" s="146"/>
      <c r="EJ125" s="146"/>
      <c r="EK125" s="146"/>
      <c r="EL125" s="146"/>
      <c r="EM125" s="146"/>
      <c r="EN125" s="146"/>
      <c r="EO125" s="146"/>
      <c r="EP125" s="146"/>
      <c r="EQ125" s="146"/>
      <c r="ER125" s="146"/>
      <c r="ES125" s="146"/>
      <c r="ET125" s="146"/>
      <c r="EU125" s="146"/>
      <c r="EV125" s="146"/>
      <c r="EW125" s="146"/>
      <c r="EX125" s="146"/>
      <c r="EY125" s="146"/>
      <c r="EZ125" s="146"/>
      <c r="FA125" s="146"/>
      <c r="FB125" s="146"/>
      <c r="FC125" s="146"/>
    </row>
    <row r="126" spans="2:159">
      <c r="B126" s="125"/>
      <c r="C126" s="48"/>
      <c r="D126" s="120"/>
      <c r="E126" s="121"/>
      <c r="F126" s="44"/>
      <c r="G126" s="98"/>
      <c r="H126" s="97"/>
      <c r="I126" s="62"/>
      <c r="J126" s="62"/>
      <c r="K126" s="62"/>
      <c r="L126" s="111"/>
      <c r="M126" s="111"/>
      <c r="N126" s="111"/>
      <c r="O126" s="93"/>
      <c r="AD126" s="93"/>
      <c r="AE126" s="55"/>
      <c r="AF126" s="158"/>
      <c r="AG126" s="268"/>
      <c r="AH126" s="97"/>
      <c r="AI126" s="97"/>
      <c r="AJ126" s="97"/>
      <c r="AK126" s="97"/>
      <c r="AL126" s="97"/>
      <c r="AM126" s="97"/>
      <c r="AN126" s="97"/>
      <c r="AO126" s="97"/>
      <c r="AP126" s="97"/>
      <c r="AQ126" s="146"/>
      <c r="AR126" s="55"/>
      <c r="AS126" s="117"/>
      <c r="AT126" s="117"/>
      <c r="AU126" s="46"/>
      <c r="AV126" s="46"/>
      <c r="AW126" s="46"/>
      <c r="AX126" s="46"/>
      <c r="AY126" s="46"/>
      <c r="AZ126" s="46"/>
      <c r="BA126" s="118"/>
      <c r="BB126" s="118"/>
      <c r="BC126" s="118"/>
      <c r="BD126" s="146"/>
      <c r="BE126" s="55"/>
      <c r="BF126" s="158"/>
      <c r="BG126" s="268"/>
      <c r="BH126" s="97"/>
      <c r="BI126" s="97"/>
      <c r="BJ126" s="97"/>
      <c r="BK126" s="97"/>
      <c r="BL126" s="97"/>
      <c r="BM126" s="97"/>
      <c r="BN126" s="97"/>
      <c r="BO126" s="97"/>
      <c r="BP126" s="146"/>
      <c r="BQ126" s="55"/>
      <c r="BR126" s="116"/>
      <c r="BS126" s="48"/>
      <c r="BT126" s="48"/>
      <c r="BU126" s="43"/>
      <c r="BV126" s="48"/>
      <c r="BW126" s="110"/>
      <c r="BX126" s="102"/>
      <c r="BY126" s="102"/>
      <c r="BZ126" s="103"/>
      <c r="CA126" s="104"/>
      <c r="CB126" s="146"/>
      <c r="CC126" s="146"/>
      <c r="CD126" s="55"/>
      <c r="CE126" s="158"/>
      <c r="CF126" s="268"/>
      <c r="CG126" s="97"/>
      <c r="CH126" s="97"/>
      <c r="CI126" s="97"/>
      <c r="CJ126" s="97"/>
      <c r="CK126" s="97"/>
      <c r="CL126" s="97"/>
      <c r="CM126" s="97"/>
      <c r="CN126" s="97"/>
      <c r="CO126" s="97"/>
      <c r="CP126" s="97"/>
      <c r="CQ126" s="146"/>
      <c r="CR126" s="142"/>
      <c r="CS126" s="146"/>
      <c r="CT126" s="146"/>
      <c r="CU126" s="146"/>
      <c r="CV126" s="146"/>
      <c r="CW126" s="146"/>
      <c r="CX126" s="146"/>
      <c r="CY126" s="146"/>
      <c r="CZ126" s="146"/>
      <c r="DA126" s="146"/>
      <c r="DB126" s="146"/>
      <c r="DC126" s="146"/>
      <c r="DD126" s="146"/>
      <c r="DE126" s="41"/>
      <c r="DF126" s="179"/>
      <c r="DG126" s="41"/>
      <c r="DH126" s="41"/>
      <c r="DI126" s="41"/>
      <c r="DJ126" s="41"/>
      <c r="DK126" s="41"/>
      <c r="DL126" s="41"/>
      <c r="DM126" s="41"/>
      <c r="DN126" s="41"/>
      <c r="DO126" s="41"/>
      <c r="DP126" s="41"/>
      <c r="DQ126" s="41"/>
      <c r="DR126" s="41"/>
      <c r="DS126" s="146"/>
      <c r="DT126" s="146"/>
      <c r="DU126" s="146"/>
      <c r="DV126" s="146"/>
      <c r="DW126" s="146"/>
      <c r="DX126" s="146"/>
      <c r="DY126" s="146"/>
      <c r="DZ126" s="146"/>
      <c r="EA126" s="146"/>
      <c r="EB126" s="146"/>
      <c r="EC126" s="146"/>
      <c r="ED126" s="146"/>
      <c r="EE126" s="146"/>
      <c r="EF126" s="146"/>
      <c r="EG126" s="146"/>
      <c r="EH126" s="146"/>
      <c r="EI126" s="146"/>
      <c r="EJ126" s="146"/>
      <c r="EK126" s="146"/>
      <c r="EL126" s="146"/>
      <c r="EM126" s="146"/>
      <c r="EN126" s="146"/>
      <c r="EO126" s="146"/>
      <c r="EP126" s="146"/>
      <c r="EQ126" s="146"/>
      <c r="ER126" s="146"/>
      <c r="ES126" s="146"/>
      <c r="ET126" s="146"/>
      <c r="EU126" s="146"/>
      <c r="EV126" s="146"/>
      <c r="EW126" s="146"/>
      <c r="EX126" s="146"/>
      <c r="EY126" s="146"/>
      <c r="EZ126" s="146"/>
      <c r="FA126" s="146"/>
      <c r="FB126" s="146"/>
      <c r="FC126" s="146"/>
    </row>
    <row r="127" spans="2:159">
      <c r="B127" s="125"/>
      <c r="C127" s="48"/>
      <c r="D127" s="120"/>
      <c r="E127" s="126"/>
      <c r="F127" s="44"/>
      <c r="G127" s="98"/>
      <c r="H127" s="97"/>
      <c r="I127" s="62"/>
      <c r="J127" s="62"/>
      <c r="K127" s="62"/>
      <c r="L127" s="111"/>
      <c r="M127" s="111"/>
      <c r="N127" s="111"/>
      <c r="O127" s="93"/>
      <c r="AD127" s="93"/>
      <c r="AE127" s="125"/>
      <c r="AF127" s="142"/>
      <c r="AG127" s="142"/>
      <c r="AH127" s="142"/>
      <c r="AI127" s="142"/>
      <c r="AJ127" s="142"/>
      <c r="AK127" s="142"/>
      <c r="AL127" s="142"/>
      <c r="AM127" s="142"/>
      <c r="AN127" s="142"/>
      <c r="AO127" s="142"/>
      <c r="AP127" s="142"/>
      <c r="AQ127" s="146"/>
      <c r="AR127" s="279"/>
      <c r="AS127" s="116"/>
      <c r="AT127" s="49"/>
      <c r="AU127" s="43"/>
      <c r="AV127" s="43"/>
      <c r="AW127" s="48"/>
      <c r="AX127" s="119"/>
      <c r="AY127" s="119"/>
      <c r="AZ127" s="119"/>
      <c r="BA127" s="128"/>
      <c r="BB127" s="128"/>
      <c r="BC127" s="128"/>
      <c r="BD127" s="146"/>
      <c r="BE127" s="279"/>
      <c r="BF127" s="142"/>
      <c r="BG127" s="142"/>
      <c r="BH127" s="142"/>
      <c r="BI127" s="142"/>
      <c r="BJ127" s="142"/>
      <c r="BK127" s="142"/>
      <c r="BL127" s="142"/>
      <c r="BM127" s="142"/>
      <c r="BN127" s="142"/>
      <c r="BO127" s="142"/>
      <c r="BP127" s="146"/>
      <c r="BQ127" s="279"/>
      <c r="BR127" s="51"/>
      <c r="BS127" s="274"/>
      <c r="BT127" s="274"/>
      <c r="BU127" s="278"/>
      <c r="BV127" s="144"/>
      <c r="BW127" s="97"/>
      <c r="BX127" s="62"/>
      <c r="BY127" s="62"/>
      <c r="BZ127" s="62"/>
      <c r="CA127" s="111"/>
      <c r="CB127" s="146"/>
      <c r="CC127" s="146"/>
      <c r="CD127" s="279"/>
      <c r="CE127" s="142"/>
      <c r="CF127" s="142"/>
      <c r="CG127" s="142"/>
      <c r="CH127" s="142"/>
      <c r="CI127" s="142"/>
      <c r="CJ127" s="142"/>
      <c r="CK127" s="142"/>
      <c r="CL127" s="142"/>
      <c r="CM127" s="142"/>
      <c r="CN127" s="142"/>
      <c r="CO127" s="142"/>
      <c r="CP127" s="142"/>
      <c r="CQ127" s="146"/>
      <c r="CR127" s="142"/>
      <c r="CS127" s="146"/>
      <c r="CT127" s="146"/>
      <c r="CU127" s="146"/>
      <c r="CV127" s="146"/>
      <c r="CW127" s="146"/>
      <c r="CX127" s="146"/>
      <c r="CY127" s="146"/>
      <c r="CZ127" s="146"/>
      <c r="DA127" s="146"/>
      <c r="DB127" s="146"/>
      <c r="DC127" s="146"/>
      <c r="DD127" s="146"/>
      <c r="DE127" s="146"/>
      <c r="DF127" s="142"/>
      <c r="DG127" s="146"/>
      <c r="DH127" s="146"/>
      <c r="DI127" s="146"/>
      <c r="DJ127" s="146"/>
      <c r="DK127" s="146"/>
      <c r="DL127" s="146"/>
      <c r="DM127" s="146"/>
      <c r="DN127" s="146"/>
      <c r="DO127" s="146"/>
      <c r="DP127" s="146"/>
      <c r="DQ127" s="146"/>
      <c r="DR127" s="146"/>
      <c r="DS127" s="146"/>
      <c r="DT127" s="146"/>
      <c r="DU127" s="146"/>
      <c r="DV127" s="146"/>
      <c r="DW127" s="146"/>
      <c r="DX127" s="146"/>
      <c r="DY127" s="146"/>
      <c r="DZ127" s="146"/>
      <c r="EA127" s="146"/>
      <c r="EB127" s="146"/>
      <c r="EC127" s="146"/>
      <c r="ED127" s="146"/>
      <c r="EE127" s="146"/>
      <c r="EF127" s="146"/>
      <c r="EG127" s="146"/>
      <c r="EH127" s="146"/>
      <c r="EI127" s="146"/>
      <c r="EJ127" s="146"/>
      <c r="EK127" s="146"/>
      <c r="EL127" s="146"/>
      <c r="EM127" s="146"/>
      <c r="EN127" s="146"/>
      <c r="EO127" s="146"/>
      <c r="EP127" s="146"/>
      <c r="EQ127" s="146"/>
      <c r="ER127" s="146"/>
      <c r="ES127" s="146"/>
      <c r="ET127" s="146"/>
      <c r="EU127" s="146"/>
      <c r="EV127" s="146"/>
      <c r="EW127" s="146"/>
      <c r="EX127" s="146"/>
      <c r="EY127" s="146"/>
      <c r="EZ127" s="146"/>
      <c r="FA127" s="146"/>
      <c r="FB127" s="146"/>
      <c r="FC127" s="146"/>
    </row>
    <row r="128" spans="2:159">
      <c r="B128" s="125"/>
      <c r="C128" s="48"/>
      <c r="D128" s="120"/>
      <c r="E128" s="126"/>
      <c r="F128" s="112"/>
      <c r="G128" s="98"/>
      <c r="H128" s="97"/>
      <c r="I128" s="62"/>
      <c r="J128" s="62"/>
      <c r="K128" s="62"/>
      <c r="L128" s="111"/>
      <c r="M128" s="111"/>
      <c r="N128" s="111"/>
      <c r="O128" s="93"/>
      <c r="AD128" s="93"/>
      <c r="AE128" s="125"/>
      <c r="AF128" s="142"/>
      <c r="AG128" s="142"/>
      <c r="AH128" s="142"/>
      <c r="AI128" s="142"/>
      <c r="AJ128" s="142"/>
      <c r="AK128" s="142"/>
      <c r="AL128" s="142"/>
      <c r="AM128" s="142"/>
      <c r="AN128" s="142"/>
      <c r="AO128" s="142"/>
      <c r="AP128" s="142"/>
      <c r="AQ128" s="146"/>
      <c r="AR128" s="279"/>
      <c r="AS128" s="43"/>
      <c r="AT128" s="280"/>
      <c r="AU128" s="44"/>
      <c r="AV128" s="44"/>
      <c r="AW128" s="62"/>
      <c r="AX128" s="62"/>
      <c r="AY128" s="62"/>
      <c r="AZ128" s="62"/>
      <c r="BA128" s="111"/>
      <c r="BB128" s="111"/>
      <c r="BC128" s="111"/>
      <c r="BD128" s="146"/>
      <c r="BE128" s="279"/>
      <c r="BF128" s="142"/>
      <c r="BG128" s="142"/>
      <c r="BH128" s="142"/>
      <c r="BI128" s="142"/>
      <c r="BJ128" s="142"/>
      <c r="BK128" s="142"/>
      <c r="BL128" s="142"/>
      <c r="BM128" s="142"/>
      <c r="BN128" s="142"/>
      <c r="BO128" s="142"/>
      <c r="BP128" s="146"/>
      <c r="BQ128" s="279"/>
      <c r="BR128" s="51"/>
      <c r="BS128" s="274"/>
      <c r="BT128" s="274"/>
      <c r="BU128" s="278"/>
      <c r="BV128" s="144"/>
      <c r="BW128" s="97"/>
      <c r="BX128" s="62"/>
      <c r="BY128" s="62"/>
      <c r="BZ128" s="62"/>
      <c r="CA128" s="111"/>
      <c r="CB128" s="146"/>
      <c r="CC128" s="146"/>
      <c r="CD128" s="279"/>
      <c r="CE128" s="142"/>
      <c r="CF128" s="142"/>
      <c r="CG128" s="142"/>
      <c r="CH128" s="142"/>
      <c r="CI128" s="142"/>
      <c r="CJ128" s="142"/>
      <c r="CK128" s="142"/>
      <c r="CL128" s="142"/>
      <c r="CM128" s="142"/>
      <c r="CN128" s="142"/>
      <c r="CO128" s="142"/>
      <c r="CP128" s="142"/>
      <c r="CQ128" s="146"/>
      <c r="CR128" s="142"/>
      <c r="CS128" s="146"/>
      <c r="CT128" s="146"/>
      <c r="CU128" s="146"/>
      <c r="CV128" s="146"/>
      <c r="CW128" s="146"/>
      <c r="CX128" s="146"/>
      <c r="CY128" s="146"/>
      <c r="CZ128" s="146"/>
      <c r="DA128" s="146"/>
      <c r="DB128" s="146"/>
      <c r="DC128" s="146"/>
      <c r="DD128" s="146"/>
      <c r="DE128" s="146"/>
      <c r="DF128" s="142"/>
      <c r="DG128" s="146"/>
      <c r="DH128" s="146"/>
      <c r="DI128" s="146"/>
      <c r="DJ128" s="146"/>
      <c r="DK128" s="146"/>
      <c r="DL128" s="146"/>
      <c r="DM128" s="146"/>
      <c r="DN128" s="146"/>
      <c r="DO128" s="146"/>
      <c r="DP128" s="146"/>
      <c r="DQ128" s="146"/>
      <c r="DR128" s="146"/>
      <c r="DS128" s="146"/>
      <c r="DT128" s="146"/>
      <c r="DU128" s="146"/>
      <c r="DV128" s="146"/>
      <c r="DW128" s="146"/>
      <c r="DX128" s="146"/>
      <c r="DY128" s="146"/>
      <c r="DZ128" s="146"/>
      <c r="EA128" s="146"/>
      <c r="EB128" s="146"/>
      <c r="EC128" s="146"/>
      <c r="ED128" s="146"/>
      <c r="EE128" s="146"/>
      <c r="EF128" s="146"/>
      <c r="EG128" s="146"/>
      <c r="EH128" s="146"/>
      <c r="EI128" s="146"/>
      <c r="EJ128" s="146"/>
      <c r="EK128" s="146"/>
      <c r="EL128" s="146"/>
      <c r="EM128" s="146"/>
      <c r="EN128" s="146"/>
      <c r="EO128" s="146"/>
      <c r="EP128" s="146"/>
      <c r="EQ128" s="146"/>
      <c r="ER128" s="146"/>
      <c r="ES128" s="146"/>
      <c r="ET128" s="146"/>
      <c r="EU128" s="146"/>
      <c r="EV128" s="146"/>
      <c r="EW128" s="146"/>
      <c r="EX128" s="146"/>
      <c r="EY128" s="146"/>
      <c r="EZ128" s="146"/>
      <c r="FA128" s="146"/>
      <c r="FB128" s="146"/>
      <c r="FC128" s="146"/>
    </row>
    <row r="129" spans="2:159">
      <c r="B129" s="125"/>
      <c r="C129" s="48"/>
      <c r="D129" s="120"/>
      <c r="E129" s="126"/>
      <c r="F129" s="44"/>
      <c r="G129" s="98"/>
      <c r="H129" s="97"/>
      <c r="I129" s="62"/>
      <c r="J129" s="62"/>
      <c r="K129" s="62"/>
      <c r="L129" s="111"/>
      <c r="M129" s="111"/>
      <c r="N129" s="111"/>
      <c r="O129" s="93"/>
      <c r="AD129" s="93"/>
      <c r="AE129" s="125"/>
      <c r="AF129" s="142"/>
      <c r="AG129" s="142"/>
      <c r="AH129" s="142"/>
      <c r="AI129" s="142"/>
      <c r="AJ129" s="142"/>
      <c r="AK129" s="142"/>
      <c r="AL129" s="142"/>
      <c r="AM129" s="142"/>
      <c r="AN129" s="142"/>
      <c r="AO129" s="142"/>
      <c r="AP129" s="142"/>
      <c r="AQ129" s="146"/>
      <c r="AR129" s="279"/>
      <c r="AS129" s="43"/>
      <c r="AT129" s="280"/>
      <c r="AU129" s="281"/>
      <c r="AV129" s="281"/>
      <c r="AW129" s="121"/>
      <c r="AX129" s="62"/>
      <c r="AY129" s="62"/>
      <c r="AZ129" s="62"/>
      <c r="BA129" s="111"/>
      <c r="BB129" s="111"/>
      <c r="BC129" s="111"/>
      <c r="BD129" s="146"/>
      <c r="BE129" s="279"/>
      <c r="BF129" s="142"/>
      <c r="BG129" s="142"/>
      <c r="BH129" s="142"/>
      <c r="BI129" s="142"/>
      <c r="BJ129" s="142"/>
      <c r="BK129" s="142"/>
      <c r="BL129" s="142"/>
      <c r="BM129" s="142"/>
      <c r="BN129" s="142"/>
      <c r="BO129" s="142"/>
      <c r="BP129" s="146"/>
      <c r="BQ129" s="279"/>
      <c r="BR129" s="51"/>
      <c r="BS129" s="274"/>
      <c r="BT129" s="274"/>
      <c r="BU129" s="278"/>
      <c r="BV129" s="144"/>
      <c r="BW129" s="97"/>
      <c r="BX129" s="62"/>
      <c r="BY129" s="62"/>
      <c r="BZ129" s="62"/>
      <c r="CA129" s="111"/>
      <c r="CB129" s="146"/>
      <c r="CC129" s="146"/>
      <c r="CD129" s="279"/>
      <c r="CE129" s="142"/>
      <c r="CF129" s="142"/>
      <c r="CG129" s="142"/>
      <c r="CH129" s="142"/>
      <c r="CI129" s="142"/>
      <c r="CJ129" s="142"/>
      <c r="CK129" s="142"/>
      <c r="CL129" s="142"/>
      <c r="CM129" s="142"/>
      <c r="CN129" s="142"/>
      <c r="CO129" s="142"/>
      <c r="CP129" s="142"/>
      <c r="CQ129" s="146"/>
      <c r="CR129" s="142"/>
      <c r="CS129" s="146"/>
      <c r="CT129" s="146"/>
      <c r="CU129" s="146"/>
      <c r="CV129" s="146"/>
      <c r="CW129" s="146"/>
      <c r="CX129" s="146"/>
      <c r="CY129" s="146"/>
      <c r="CZ129" s="146"/>
      <c r="DA129" s="146"/>
      <c r="DB129" s="146"/>
      <c r="DC129" s="146"/>
      <c r="DD129" s="146"/>
      <c r="DE129" s="146"/>
      <c r="DF129" s="142"/>
      <c r="DG129" s="146"/>
      <c r="DH129" s="146"/>
      <c r="DI129" s="146"/>
      <c r="DJ129" s="146"/>
      <c r="DK129" s="146"/>
      <c r="DL129" s="146"/>
      <c r="DM129" s="146"/>
      <c r="DN129" s="146"/>
      <c r="DO129" s="146"/>
      <c r="DP129" s="146"/>
      <c r="DQ129" s="146"/>
      <c r="DR129" s="146"/>
      <c r="DS129" s="146"/>
      <c r="DT129" s="146"/>
      <c r="DU129" s="146"/>
      <c r="DV129" s="146"/>
      <c r="DW129" s="146"/>
      <c r="DX129" s="146"/>
      <c r="DY129" s="146"/>
      <c r="DZ129" s="146"/>
      <c r="EA129" s="146"/>
      <c r="EB129" s="146"/>
      <c r="EC129" s="146"/>
      <c r="ED129" s="146"/>
      <c r="EE129" s="146"/>
      <c r="EF129" s="146"/>
      <c r="EG129" s="146"/>
      <c r="EH129" s="146"/>
      <c r="EI129" s="146"/>
      <c r="EJ129" s="146"/>
      <c r="EK129" s="146"/>
      <c r="EL129" s="146"/>
      <c r="EM129" s="146"/>
      <c r="EN129" s="146"/>
      <c r="EO129" s="146"/>
      <c r="EP129" s="146"/>
      <c r="EQ129" s="146"/>
      <c r="ER129" s="146"/>
      <c r="ES129" s="146"/>
      <c r="ET129" s="146"/>
      <c r="EU129" s="146"/>
      <c r="EV129" s="146"/>
      <c r="EW129" s="146"/>
      <c r="EX129" s="146"/>
      <c r="EY129" s="146"/>
      <c r="EZ129" s="146"/>
      <c r="FA129" s="146"/>
      <c r="FB129" s="146"/>
      <c r="FC129" s="146"/>
    </row>
    <row r="130" spans="2:159">
      <c r="B130" s="125"/>
      <c r="C130" s="48"/>
      <c r="D130" s="120"/>
      <c r="E130" s="126"/>
      <c r="F130" s="44"/>
      <c r="G130" s="98"/>
      <c r="H130" s="97"/>
      <c r="I130" s="62"/>
      <c r="J130" s="62"/>
      <c r="K130" s="62"/>
      <c r="L130" s="111"/>
      <c r="M130" s="111"/>
      <c r="N130" s="111"/>
      <c r="O130" s="93"/>
      <c r="AD130" s="93"/>
      <c r="AE130" s="125"/>
      <c r="AF130" s="95"/>
      <c r="AG130" s="54"/>
      <c r="AH130" s="52"/>
      <c r="AI130" s="53"/>
      <c r="AJ130" s="52"/>
      <c r="AK130" s="52"/>
      <c r="AL130" s="123"/>
      <c r="AM130" s="123"/>
      <c r="AN130" s="123"/>
      <c r="AO130" s="124"/>
      <c r="AP130" s="124"/>
      <c r="AQ130" s="146"/>
      <c r="AR130" s="279"/>
      <c r="AS130" s="43"/>
      <c r="AT130" s="280"/>
      <c r="AU130" s="44"/>
      <c r="AV130" s="44"/>
      <c r="AW130" s="121"/>
      <c r="AX130" s="62"/>
      <c r="AY130" s="62"/>
      <c r="AZ130" s="62"/>
      <c r="BA130" s="111"/>
      <c r="BB130" s="111"/>
      <c r="BC130" s="111"/>
      <c r="BD130" s="146"/>
      <c r="BE130" s="279"/>
      <c r="BF130" s="95"/>
      <c r="BG130" s="54"/>
      <c r="BH130" s="52"/>
      <c r="BI130" s="52"/>
      <c r="BJ130" s="52"/>
      <c r="BK130" s="123"/>
      <c r="BL130" s="123"/>
      <c r="BM130" s="123"/>
      <c r="BN130" s="124"/>
      <c r="BO130" s="124"/>
      <c r="BP130" s="146"/>
      <c r="BQ130" s="279"/>
      <c r="BR130" s="51"/>
      <c r="BS130" s="274"/>
      <c r="BT130" s="274"/>
      <c r="BU130" s="278"/>
      <c r="BV130" s="144"/>
      <c r="BW130" s="97"/>
      <c r="BX130" s="62"/>
      <c r="BY130" s="62"/>
      <c r="BZ130" s="62"/>
      <c r="CA130" s="111"/>
      <c r="CB130" s="146"/>
      <c r="CC130" s="146"/>
      <c r="CD130" s="279"/>
      <c r="CE130" s="95"/>
      <c r="CF130" s="54"/>
      <c r="CG130" s="52"/>
      <c r="CH130" s="53"/>
      <c r="CI130" s="52"/>
      <c r="CJ130" s="52"/>
      <c r="CK130" s="123"/>
      <c r="CL130" s="123"/>
      <c r="CM130" s="123"/>
      <c r="CN130" s="124"/>
      <c r="CO130" s="124"/>
      <c r="CP130" s="124"/>
      <c r="CQ130" s="146"/>
      <c r="CR130" s="142"/>
      <c r="CS130" s="146"/>
      <c r="CT130" s="146"/>
      <c r="CU130" s="146"/>
      <c r="CV130" s="146"/>
      <c r="CW130" s="146"/>
      <c r="CX130" s="146"/>
      <c r="CY130" s="146"/>
      <c r="CZ130" s="146"/>
      <c r="DA130" s="146"/>
      <c r="DB130" s="146"/>
      <c r="DC130" s="146"/>
      <c r="DD130" s="146"/>
      <c r="DE130" s="146"/>
      <c r="DF130" s="142"/>
      <c r="DG130" s="146"/>
      <c r="DH130" s="146"/>
      <c r="DI130" s="146"/>
      <c r="DJ130" s="146"/>
      <c r="DK130" s="146"/>
      <c r="DL130" s="146"/>
      <c r="DM130" s="146"/>
      <c r="DN130" s="146"/>
      <c r="DO130" s="146"/>
      <c r="DP130" s="146"/>
      <c r="DQ130" s="146"/>
      <c r="DR130" s="146"/>
      <c r="DS130" s="146"/>
      <c r="DT130" s="146"/>
      <c r="DU130" s="146"/>
      <c r="DV130" s="146"/>
      <c r="DW130" s="146"/>
      <c r="DX130" s="146"/>
      <c r="DY130" s="146"/>
      <c r="DZ130" s="146"/>
      <c r="EA130" s="146"/>
      <c r="EB130" s="146"/>
      <c r="EC130" s="146"/>
      <c r="ED130" s="146"/>
      <c r="EE130" s="146"/>
      <c r="EF130" s="146"/>
      <c r="EG130" s="146"/>
      <c r="EH130" s="146"/>
      <c r="EI130" s="146"/>
      <c r="EJ130" s="146"/>
      <c r="EK130" s="146"/>
      <c r="EL130" s="146"/>
      <c r="EM130" s="146"/>
      <c r="EN130" s="146"/>
      <c r="EO130" s="146"/>
      <c r="EP130" s="146"/>
      <c r="EQ130" s="146"/>
      <c r="ER130" s="146"/>
      <c r="ES130" s="146"/>
      <c r="ET130" s="146"/>
      <c r="EU130" s="146"/>
      <c r="EV130" s="146"/>
      <c r="EW130" s="146"/>
      <c r="EX130" s="146"/>
      <c r="EY130" s="146"/>
      <c r="EZ130" s="146"/>
      <c r="FA130" s="146"/>
      <c r="FB130" s="146"/>
      <c r="FC130" s="146"/>
    </row>
    <row r="131" spans="2:159">
      <c r="B131" s="125"/>
      <c r="C131" s="48"/>
      <c r="D131" s="120"/>
      <c r="E131" s="126"/>
      <c r="F131" s="112"/>
      <c r="G131" s="98"/>
      <c r="H131" s="97"/>
      <c r="I131" s="62"/>
      <c r="J131" s="62"/>
      <c r="K131" s="62"/>
      <c r="L131" s="111"/>
      <c r="M131" s="111"/>
      <c r="N131" s="111"/>
      <c r="O131" s="93"/>
      <c r="AD131" s="93"/>
      <c r="AE131" s="125"/>
      <c r="AF131" s="50"/>
      <c r="AG131" s="50"/>
      <c r="AH131" s="97"/>
      <c r="AI131" s="144"/>
      <c r="AJ131" s="144"/>
      <c r="AK131" s="97"/>
      <c r="AL131" s="97"/>
      <c r="AM131" s="97"/>
      <c r="AN131" s="97"/>
      <c r="AO131" s="104"/>
      <c r="AP131" s="104"/>
      <c r="AQ131" s="146"/>
      <c r="AR131" s="279"/>
      <c r="AS131" s="43"/>
      <c r="AT131" s="280"/>
      <c r="AU131" s="44"/>
      <c r="AV131" s="44"/>
      <c r="AW131" s="121"/>
      <c r="AX131" s="62"/>
      <c r="AY131" s="62"/>
      <c r="AZ131" s="62"/>
      <c r="BA131" s="111"/>
      <c r="BB131" s="111"/>
      <c r="BC131" s="111"/>
      <c r="BD131" s="146"/>
      <c r="BE131" s="279"/>
      <c r="BF131" s="50"/>
      <c r="BG131" s="50"/>
      <c r="BH131" s="97"/>
      <c r="BI131" s="144"/>
      <c r="BJ131" s="97"/>
      <c r="BK131" s="97"/>
      <c r="BL131" s="97"/>
      <c r="BM131" s="97"/>
      <c r="BN131" s="104"/>
      <c r="BO131" s="104"/>
      <c r="BP131" s="146"/>
      <c r="BQ131" s="279"/>
      <c r="BR131" s="51"/>
      <c r="BS131" s="274"/>
      <c r="BT131" s="274"/>
      <c r="BU131" s="278"/>
      <c r="BV131" s="144"/>
      <c r="BW131" s="97"/>
      <c r="BX131" s="62"/>
      <c r="BY131" s="62"/>
      <c r="BZ131" s="62"/>
      <c r="CA131" s="111"/>
      <c r="CB131" s="146"/>
      <c r="CC131" s="146"/>
      <c r="CD131" s="279"/>
      <c r="CE131" s="50"/>
      <c r="CF131" s="50"/>
      <c r="CG131" s="97"/>
      <c r="CH131" s="144"/>
      <c r="CI131" s="144"/>
      <c r="CJ131" s="97"/>
      <c r="CK131" s="97"/>
      <c r="CL131" s="97"/>
      <c r="CM131" s="97"/>
      <c r="CN131" s="104"/>
      <c r="CO131" s="104"/>
      <c r="CP131" s="104"/>
      <c r="CQ131" s="146"/>
      <c r="CR131" s="142"/>
      <c r="CS131" s="146"/>
      <c r="CT131" s="146"/>
      <c r="CU131" s="146"/>
      <c r="CV131" s="146"/>
      <c r="CW131" s="146"/>
      <c r="CX131" s="146"/>
      <c r="CY131" s="146"/>
      <c r="CZ131" s="146"/>
      <c r="DA131" s="146"/>
      <c r="DB131" s="146"/>
      <c r="DC131" s="146"/>
      <c r="DD131" s="146"/>
      <c r="DE131" s="146"/>
      <c r="DF131" s="142"/>
      <c r="DG131" s="146"/>
      <c r="DH131" s="146"/>
      <c r="DI131" s="146"/>
      <c r="DJ131" s="146"/>
      <c r="DK131" s="146"/>
      <c r="DL131" s="146"/>
      <c r="DM131" s="146"/>
      <c r="DN131" s="146"/>
      <c r="DO131" s="146"/>
      <c r="DP131" s="146"/>
      <c r="DQ131" s="146"/>
      <c r="DR131" s="146"/>
      <c r="DS131" s="146"/>
      <c r="DT131" s="146"/>
      <c r="DU131" s="146"/>
      <c r="DV131" s="146"/>
      <c r="DW131" s="146"/>
      <c r="DX131" s="146"/>
      <c r="DY131" s="146"/>
      <c r="DZ131" s="146"/>
      <c r="EA131" s="146"/>
      <c r="EB131" s="146"/>
      <c r="EC131" s="146"/>
      <c r="ED131" s="146"/>
      <c r="EE131" s="146"/>
      <c r="EF131" s="146"/>
      <c r="EG131" s="146"/>
      <c r="EH131" s="146"/>
      <c r="EI131" s="146"/>
      <c r="EJ131" s="146"/>
      <c r="EK131" s="146"/>
      <c r="EL131" s="146"/>
      <c r="EM131" s="146"/>
      <c r="EN131" s="146"/>
      <c r="EO131" s="146"/>
      <c r="EP131" s="146"/>
      <c r="EQ131" s="146"/>
      <c r="ER131" s="146"/>
      <c r="ES131" s="146"/>
      <c r="ET131" s="146"/>
      <c r="EU131" s="146"/>
      <c r="EV131" s="146"/>
      <c r="EW131" s="146"/>
      <c r="EX131" s="146"/>
      <c r="EY131" s="146"/>
      <c r="EZ131" s="146"/>
      <c r="FA131" s="146"/>
      <c r="FB131" s="146"/>
      <c r="FC131" s="146"/>
    </row>
    <row r="132" spans="2:159" s="93" customFormat="1">
      <c r="B132" s="125"/>
      <c r="C132" s="48"/>
      <c r="D132" s="120"/>
      <c r="E132" s="126"/>
      <c r="F132" s="44"/>
      <c r="G132" s="98"/>
      <c r="H132" s="97"/>
      <c r="I132" s="62"/>
      <c r="J132" s="62"/>
      <c r="K132" s="62"/>
      <c r="L132" s="111"/>
      <c r="M132" s="111"/>
      <c r="N132" s="111"/>
      <c r="P132" s="92"/>
      <c r="Q132" s="92"/>
      <c r="R132" s="92"/>
      <c r="S132" s="92"/>
      <c r="T132" s="92"/>
      <c r="U132" s="92"/>
      <c r="V132" s="92"/>
      <c r="W132" s="92"/>
      <c r="X132" s="92"/>
      <c r="Y132" s="92"/>
      <c r="Z132" s="92"/>
      <c r="AA132" s="92"/>
      <c r="AB132" s="92"/>
      <c r="AE132" s="55"/>
      <c r="AF132" s="95"/>
      <c r="AG132" s="48"/>
      <c r="AH132" s="48"/>
      <c r="AI132" s="115"/>
      <c r="AJ132" s="48"/>
      <c r="AK132" s="48"/>
      <c r="AL132" s="48"/>
      <c r="AM132" s="48"/>
      <c r="AN132" s="48"/>
      <c r="AO132" s="110"/>
      <c r="AP132" s="110"/>
      <c r="AQ132" s="142"/>
      <c r="AR132" s="55"/>
      <c r="AS132" s="43"/>
      <c r="AT132" s="280"/>
      <c r="AU132" s="281"/>
      <c r="AV132" s="281"/>
      <c r="AW132" s="121"/>
      <c r="AX132" s="62"/>
      <c r="AY132" s="62"/>
      <c r="AZ132" s="62"/>
      <c r="BA132" s="111"/>
      <c r="BB132" s="111"/>
      <c r="BC132" s="111"/>
      <c r="BD132" s="142"/>
      <c r="BE132" s="55"/>
      <c r="BF132" s="95"/>
      <c r="BG132" s="48"/>
      <c r="BH132" s="48"/>
      <c r="BI132" s="48"/>
      <c r="BJ132" s="48"/>
      <c r="BK132" s="48"/>
      <c r="BL132" s="48"/>
      <c r="BM132" s="48"/>
      <c r="BN132" s="110"/>
      <c r="BO132" s="110"/>
      <c r="BP132" s="142"/>
      <c r="BQ132" s="55"/>
      <c r="BR132" s="51"/>
      <c r="BS132" s="274"/>
      <c r="BT132" s="274"/>
      <c r="BU132" s="278"/>
      <c r="BV132" s="144"/>
      <c r="BW132" s="97"/>
      <c r="BX132" s="62"/>
      <c r="BY132" s="62"/>
      <c r="BZ132" s="62"/>
      <c r="CA132" s="111"/>
      <c r="CB132" s="142"/>
      <c r="CC132" s="142"/>
      <c r="CD132" s="55"/>
      <c r="CE132" s="95"/>
      <c r="CF132" s="48"/>
      <c r="CG132" s="48"/>
      <c r="CH132" s="115"/>
      <c r="CI132" s="48"/>
      <c r="CJ132" s="48"/>
      <c r="CK132" s="48"/>
      <c r="CL132" s="48"/>
      <c r="CM132" s="48"/>
      <c r="CN132" s="110"/>
      <c r="CO132" s="110"/>
      <c r="CP132" s="110"/>
      <c r="CQ132" s="142"/>
      <c r="CR132" s="142"/>
      <c r="CS132" s="142"/>
      <c r="CT132" s="142"/>
      <c r="CU132" s="142"/>
      <c r="CV132" s="142"/>
      <c r="CW132" s="142"/>
      <c r="CX132" s="142"/>
      <c r="CY132" s="142"/>
      <c r="CZ132" s="142"/>
      <c r="DA132" s="142"/>
      <c r="DB132" s="142"/>
      <c r="DC132" s="142"/>
      <c r="DD132" s="142"/>
      <c r="DE132" s="142"/>
      <c r="DF132" s="142"/>
      <c r="DG132" s="142"/>
      <c r="DH132" s="142"/>
      <c r="DI132" s="142"/>
      <c r="DJ132" s="142"/>
      <c r="DK132" s="142"/>
      <c r="DL132" s="142"/>
      <c r="DM132" s="142"/>
      <c r="DN132" s="142"/>
      <c r="DO132" s="142"/>
      <c r="DP132" s="142"/>
      <c r="DQ132" s="142"/>
      <c r="DR132" s="142"/>
      <c r="DS132" s="142"/>
      <c r="DT132" s="142"/>
      <c r="DU132" s="142"/>
      <c r="DV132" s="142"/>
      <c r="DW132" s="142"/>
      <c r="DX132" s="142"/>
      <c r="DY132" s="142"/>
      <c r="DZ132" s="142"/>
      <c r="EA132" s="142"/>
      <c r="EB132" s="142"/>
      <c r="EC132" s="142"/>
      <c r="ED132" s="142"/>
      <c r="EE132" s="146"/>
      <c r="EF132" s="146"/>
      <c r="EG132" s="146"/>
      <c r="EH132" s="146"/>
      <c r="EI132" s="146"/>
      <c r="EJ132" s="146"/>
      <c r="EK132" s="146"/>
      <c r="EL132" s="146"/>
      <c r="EM132" s="146"/>
      <c r="EN132" s="146"/>
      <c r="EO132" s="146"/>
      <c r="EP132" s="146"/>
      <c r="EQ132" s="146"/>
      <c r="ER132" s="146"/>
      <c r="ES132" s="146"/>
      <c r="ET132" s="146"/>
      <c r="EU132" s="146"/>
      <c r="EV132" s="146"/>
      <c r="EW132" s="146"/>
      <c r="EX132" s="146"/>
      <c r="EY132" s="146"/>
      <c r="EZ132" s="146"/>
      <c r="FA132" s="146"/>
      <c r="FB132" s="146"/>
      <c r="FC132" s="146"/>
    </row>
    <row r="133" spans="2:159" s="93" customFormat="1">
      <c r="B133" s="125"/>
      <c r="C133" s="48"/>
      <c r="D133" s="120"/>
      <c r="E133" s="126"/>
      <c r="F133" s="44"/>
      <c r="G133" s="98"/>
      <c r="H133" s="97"/>
      <c r="I133" s="62"/>
      <c r="J133" s="62"/>
      <c r="K133" s="62"/>
      <c r="L133" s="111"/>
      <c r="M133" s="111"/>
      <c r="N133" s="111"/>
      <c r="P133" s="92"/>
      <c r="Q133" s="92"/>
      <c r="R133" s="92"/>
      <c r="S133" s="92"/>
      <c r="T133" s="92"/>
      <c r="U133" s="92"/>
      <c r="V133" s="92"/>
      <c r="W133" s="92"/>
      <c r="X133" s="92"/>
      <c r="Y133" s="92"/>
      <c r="Z133" s="92"/>
      <c r="AA133" s="92"/>
      <c r="AB133" s="92"/>
      <c r="AE133" s="125"/>
      <c r="AF133" s="51"/>
      <c r="AG133" s="274"/>
      <c r="AH133" s="97"/>
      <c r="AI133" s="278"/>
      <c r="AJ133" s="144"/>
      <c r="AK133" s="97"/>
      <c r="AL133" s="62"/>
      <c r="AM133" s="62"/>
      <c r="AN133" s="62"/>
      <c r="AO133" s="111"/>
      <c r="AP133" s="111"/>
      <c r="AQ133" s="142"/>
      <c r="AR133" s="279"/>
      <c r="AS133" s="43"/>
      <c r="AT133" s="280"/>
      <c r="AU133" s="44"/>
      <c r="AV133" s="44"/>
      <c r="AW133" s="121"/>
      <c r="AX133" s="62"/>
      <c r="AY133" s="62"/>
      <c r="AZ133" s="62"/>
      <c r="BA133" s="111"/>
      <c r="BB133" s="111"/>
      <c r="BC133" s="111"/>
      <c r="BD133" s="142"/>
      <c r="BE133" s="279"/>
      <c r="BF133" s="51"/>
      <c r="BG133" s="274"/>
      <c r="BH133" s="97"/>
      <c r="BI133" s="144"/>
      <c r="BJ133" s="97"/>
      <c r="BK133" s="62"/>
      <c r="BL133" s="62"/>
      <c r="BM133" s="62"/>
      <c r="BN133" s="111"/>
      <c r="BO133" s="111"/>
      <c r="BP133" s="142"/>
      <c r="BQ133" s="279"/>
      <c r="BR133" s="142"/>
      <c r="BS133" s="142"/>
      <c r="BT133" s="142"/>
      <c r="BU133" s="142"/>
      <c r="BV133" s="142"/>
      <c r="BW133" s="142"/>
      <c r="BX133" s="142"/>
      <c r="BY133" s="142"/>
      <c r="BZ133" s="142"/>
      <c r="CA133" s="142"/>
      <c r="CB133" s="142"/>
      <c r="CC133" s="142"/>
      <c r="CD133" s="279"/>
      <c r="CE133" s="51"/>
      <c r="CF133" s="274"/>
      <c r="CG133" s="97"/>
      <c r="CH133" s="278"/>
      <c r="CI133" s="144"/>
      <c r="CJ133" s="97"/>
      <c r="CK133" s="62"/>
      <c r="CL133" s="62"/>
      <c r="CM133" s="62"/>
      <c r="CN133" s="111"/>
      <c r="CO133" s="111"/>
      <c r="CP133" s="111"/>
      <c r="CQ133" s="142"/>
      <c r="CR133" s="142"/>
      <c r="CS133" s="142"/>
      <c r="CT133" s="142"/>
      <c r="CU133" s="142"/>
      <c r="CV133" s="142"/>
      <c r="CW133" s="142"/>
      <c r="CX133" s="142"/>
      <c r="CY133" s="142"/>
      <c r="CZ133" s="142"/>
      <c r="DA133" s="142"/>
      <c r="DB133" s="142"/>
      <c r="DC133" s="142"/>
      <c r="DD133" s="142"/>
      <c r="DE133" s="142"/>
      <c r="DF133" s="142"/>
      <c r="DG133" s="142"/>
      <c r="DH133" s="142"/>
      <c r="DI133" s="142"/>
      <c r="DJ133" s="142"/>
      <c r="DK133" s="142"/>
      <c r="DL133" s="142"/>
      <c r="DM133" s="142"/>
      <c r="DN133" s="142"/>
      <c r="DO133" s="142"/>
      <c r="DP133" s="142"/>
      <c r="DQ133" s="142"/>
      <c r="DR133" s="142"/>
      <c r="DS133" s="142"/>
      <c r="DT133" s="142"/>
      <c r="DU133" s="142"/>
      <c r="DV133" s="142"/>
      <c r="DW133" s="142"/>
      <c r="DX133" s="142"/>
      <c r="DY133" s="142"/>
      <c r="DZ133" s="142"/>
      <c r="EA133" s="142"/>
      <c r="EB133" s="142"/>
      <c r="EC133" s="142"/>
      <c r="ED133" s="142"/>
      <c r="EE133" s="146"/>
      <c r="EF133" s="146"/>
      <c r="EG133" s="146"/>
      <c r="EH133" s="146"/>
      <c r="EI133" s="146"/>
      <c r="EJ133" s="146"/>
      <c r="EK133" s="146"/>
      <c r="EL133" s="146"/>
      <c r="EM133" s="146"/>
      <c r="EN133" s="146"/>
      <c r="EO133" s="146"/>
      <c r="EP133" s="146"/>
      <c r="EQ133" s="146"/>
      <c r="ER133" s="146"/>
      <c r="ES133" s="146"/>
      <c r="ET133" s="146"/>
      <c r="EU133" s="146"/>
      <c r="EV133" s="146"/>
      <c r="EW133" s="146"/>
      <c r="EX133" s="146"/>
      <c r="EY133" s="146"/>
      <c r="EZ133" s="146"/>
      <c r="FA133" s="146"/>
      <c r="FB133" s="146"/>
      <c r="FC133" s="146"/>
    </row>
    <row r="134" spans="2:159" s="93" customFormat="1">
      <c r="B134" s="125"/>
      <c r="C134" s="48"/>
      <c r="D134" s="120"/>
      <c r="E134" s="126"/>
      <c r="F134" s="112"/>
      <c r="G134" s="98"/>
      <c r="H134" s="97"/>
      <c r="I134" s="62"/>
      <c r="J134" s="62"/>
      <c r="K134" s="62"/>
      <c r="L134" s="111"/>
      <c r="M134" s="111"/>
      <c r="N134" s="111"/>
      <c r="P134" s="92"/>
      <c r="Q134" s="92"/>
      <c r="R134" s="92"/>
      <c r="S134" s="92"/>
      <c r="T134" s="92"/>
      <c r="U134" s="92"/>
      <c r="V134" s="92"/>
      <c r="W134" s="92"/>
      <c r="X134" s="92"/>
      <c r="Y134" s="92"/>
      <c r="Z134" s="92"/>
      <c r="AA134" s="92"/>
      <c r="AB134" s="92"/>
      <c r="AE134" s="125"/>
      <c r="AF134" s="51"/>
      <c r="AG134" s="274"/>
      <c r="AH134" s="97"/>
      <c r="AI134" s="278"/>
      <c r="AJ134" s="144"/>
      <c r="AK134" s="97"/>
      <c r="AL134" s="62"/>
      <c r="AM134" s="62"/>
      <c r="AN134" s="62"/>
      <c r="AO134" s="111"/>
      <c r="AP134" s="111"/>
      <c r="AQ134" s="142"/>
      <c r="AR134" s="279"/>
      <c r="AS134" s="48"/>
      <c r="AT134" s="280"/>
      <c r="AU134" s="44"/>
      <c r="AV134" s="44"/>
      <c r="AW134" s="121"/>
      <c r="AX134" s="62"/>
      <c r="AY134" s="62"/>
      <c r="AZ134" s="62"/>
      <c r="BA134" s="111"/>
      <c r="BB134" s="111"/>
      <c r="BC134" s="111"/>
      <c r="BD134" s="142"/>
      <c r="BE134" s="279"/>
      <c r="BF134" s="51"/>
      <c r="BG134" s="274"/>
      <c r="BH134" s="97"/>
      <c r="BI134" s="144"/>
      <c r="BJ134" s="97"/>
      <c r="BK134" s="62"/>
      <c r="BL134" s="62"/>
      <c r="BM134" s="62"/>
      <c r="BN134" s="111"/>
      <c r="BO134" s="111"/>
      <c r="BP134" s="142"/>
      <c r="BQ134" s="279"/>
      <c r="BR134" s="95"/>
      <c r="BS134" s="54"/>
      <c r="BT134" s="54"/>
      <c r="BU134" s="53"/>
      <c r="BV134" s="52"/>
      <c r="BW134" s="52"/>
      <c r="BX134" s="123"/>
      <c r="BY134" s="123"/>
      <c r="BZ134" s="123"/>
      <c r="CA134" s="124"/>
      <c r="CB134" s="142"/>
      <c r="CC134" s="142"/>
      <c r="CD134" s="279"/>
      <c r="CE134" s="51"/>
      <c r="CF134" s="274"/>
      <c r="CG134" s="97"/>
      <c r="CH134" s="278"/>
      <c r="CI134" s="144"/>
      <c r="CJ134" s="97"/>
      <c r="CK134" s="62"/>
      <c r="CL134" s="62"/>
      <c r="CM134" s="62"/>
      <c r="CN134" s="111"/>
      <c r="CO134" s="111"/>
      <c r="CP134" s="111"/>
      <c r="CQ134" s="142"/>
      <c r="CR134" s="142"/>
      <c r="CS134" s="142"/>
      <c r="CT134" s="142"/>
      <c r="CU134" s="142"/>
      <c r="CV134" s="142"/>
      <c r="CW134" s="142"/>
      <c r="CX134" s="142"/>
      <c r="CY134" s="142"/>
      <c r="CZ134" s="142"/>
      <c r="DA134" s="142"/>
      <c r="DB134" s="142"/>
      <c r="DC134" s="142"/>
      <c r="DD134" s="142"/>
      <c r="DE134" s="142"/>
      <c r="DF134" s="142"/>
      <c r="DG134" s="142"/>
      <c r="DH134" s="142"/>
      <c r="DI134" s="142"/>
      <c r="DJ134" s="142"/>
      <c r="DK134" s="142"/>
      <c r="DL134" s="142"/>
      <c r="DM134" s="142"/>
      <c r="DN134" s="142"/>
      <c r="DO134" s="142"/>
      <c r="DP134" s="142"/>
      <c r="DQ134" s="142"/>
      <c r="DR134" s="142"/>
      <c r="DS134" s="142"/>
      <c r="DT134" s="142"/>
      <c r="DU134" s="142"/>
      <c r="DV134" s="142"/>
      <c r="DW134" s="142"/>
      <c r="DX134" s="142"/>
      <c r="DY134" s="142"/>
      <c r="DZ134" s="142"/>
      <c r="EA134" s="142"/>
      <c r="EB134" s="142"/>
      <c r="EC134" s="142"/>
      <c r="ED134" s="142"/>
      <c r="EE134" s="146"/>
      <c r="EF134" s="146"/>
      <c r="EG134" s="146"/>
      <c r="EH134" s="146"/>
      <c r="EI134" s="146"/>
      <c r="EJ134" s="146"/>
      <c r="EK134" s="146"/>
      <c r="EL134" s="146"/>
      <c r="EM134" s="146"/>
      <c r="EN134" s="146"/>
      <c r="EO134" s="146"/>
      <c r="EP134" s="146"/>
      <c r="EQ134" s="146"/>
      <c r="ER134" s="146"/>
      <c r="ES134" s="146"/>
      <c r="ET134" s="146"/>
      <c r="EU134" s="146"/>
      <c r="EV134" s="146"/>
      <c r="EW134" s="146"/>
      <c r="EX134" s="146"/>
      <c r="EY134" s="146"/>
      <c r="EZ134" s="146"/>
      <c r="FA134" s="146"/>
      <c r="FB134" s="146"/>
      <c r="FC134" s="146"/>
    </row>
    <row r="135" spans="2:159" s="93" customFormat="1">
      <c r="B135" s="125"/>
      <c r="C135" s="48"/>
      <c r="D135" s="120"/>
      <c r="E135" s="126"/>
      <c r="F135" s="44"/>
      <c r="G135" s="98"/>
      <c r="H135" s="97"/>
      <c r="I135" s="62"/>
      <c r="J135" s="62"/>
      <c r="K135" s="62"/>
      <c r="L135" s="111"/>
      <c r="M135" s="111"/>
      <c r="N135" s="111"/>
      <c r="P135" s="92"/>
      <c r="Q135" s="92"/>
      <c r="R135" s="92"/>
      <c r="S135" s="92"/>
      <c r="T135" s="92"/>
      <c r="U135" s="92"/>
      <c r="V135" s="92"/>
      <c r="W135" s="92"/>
      <c r="X135" s="92"/>
      <c r="Y135" s="92"/>
      <c r="Z135" s="92"/>
      <c r="AA135" s="92"/>
      <c r="AB135" s="92"/>
      <c r="AE135" s="125"/>
      <c r="AF135" s="51"/>
      <c r="AG135" s="274"/>
      <c r="AH135" s="97"/>
      <c r="AI135" s="278"/>
      <c r="AJ135" s="144"/>
      <c r="AK135" s="97"/>
      <c r="AL135" s="62"/>
      <c r="AM135" s="62"/>
      <c r="AN135" s="62"/>
      <c r="AO135" s="111"/>
      <c r="AP135" s="111"/>
      <c r="AQ135" s="142"/>
      <c r="AR135" s="279"/>
      <c r="AS135" s="48"/>
      <c r="AT135" s="280"/>
      <c r="AU135" s="281"/>
      <c r="AV135" s="281"/>
      <c r="AW135" s="97"/>
      <c r="AX135" s="62"/>
      <c r="AY135" s="62"/>
      <c r="AZ135" s="62"/>
      <c r="BA135" s="111"/>
      <c r="BB135" s="111"/>
      <c r="BC135" s="111"/>
      <c r="BD135" s="142"/>
      <c r="BE135" s="279"/>
      <c r="BF135" s="51"/>
      <c r="BG135" s="274"/>
      <c r="BH135" s="97"/>
      <c r="BI135" s="144"/>
      <c r="BJ135" s="97"/>
      <c r="BK135" s="62"/>
      <c r="BL135" s="62"/>
      <c r="BM135" s="62"/>
      <c r="BN135" s="111"/>
      <c r="BO135" s="111"/>
      <c r="BP135" s="142"/>
      <c r="BQ135" s="279"/>
      <c r="BR135" s="50"/>
      <c r="BS135" s="50"/>
      <c r="BT135" s="50"/>
      <c r="BU135" s="144"/>
      <c r="BV135" s="144"/>
      <c r="BW135" s="97"/>
      <c r="BX135" s="97"/>
      <c r="BY135" s="97"/>
      <c r="BZ135" s="97"/>
      <c r="CA135" s="104"/>
      <c r="CB135" s="142"/>
      <c r="CC135" s="142"/>
      <c r="CD135" s="279"/>
      <c r="CE135" s="142"/>
      <c r="CF135" s="142"/>
      <c r="CG135" s="142"/>
      <c r="CH135" s="142"/>
      <c r="CI135" s="142"/>
      <c r="CJ135" s="142"/>
      <c r="CK135" s="142"/>
      <c r="CL135" s="142"/>
      <c r="CM135" s="142"/>
      <c r="CN135" s="142"/>
      <c r="CO135" s="142"/>
      <c r="CP135" s="142"/>
      <c r="CQ135" s="142"/>
      <c r="CR135" s="142"/>
      <c r="CS135" s="142"/>
      <c r="CT135" s="142"/>
      <c r="CU135" s="142"/>
      <c r="CV135" s="142"/>
      <c r="CW135" s="142"/>
      <c r="CX135" s="142"/>
      <c r="CY135" s="142"/>
      <c r="CZ135" s="142"/>
      <c r="DA135" s="142"/>
      <c r="DB135" s="142"/>
      <c r="DC135" s="142"/>
      <c r="DD135" s="142"/>
      <c r="DE135" s="142"/>
      <c r="DF135" s="142"/>
      <c r="DG135" s="142"/>
      <c r="DH135" s="142"/>
      <c r="DI135" s="142"/>
      <c r="DJ135" s="142"/>
      <c r="DK135" s="142"/>
      <c r="DL135" s="142"/>
      <c r="DM135" s="142"/>
      <c r="DN135" s="142"/>
      <c r="DO135" s="142"/>
      <c r="DP135" s="142"/>
      <c r="DQ135" s="142"/>
      <c r="DR135" s="142"/>
      <c r="DS135" s="142"/>
      <c r="DT135" s="142"/>
      <c r="DU135" s="142"/>
      <c r="DV135" s="142"/>
      <c r="DW135" s="142"/>
      <c r="DX135" s="142"/>
      <c r="DY135" s="142"/>
      <c r="DZ135" s="142"/>
      <c r="EA135" s="142"/>
      <c r="EB135" s="142"/>
      <c r="EC135" s="142"/>
      <c r="ED135" s="142"/>
      <c r="EE135" s="146"/>
      <c r="EF135" s="146"/>
      <c r="EG135" s="146"/>
      <c r="EH135" s="146"/>
      <c r="EI135" s="146"/>
      <c r="EJ135" s="146"/>
      <c r="EK135" s="146"/>
      <c r="EL135" s="146"/>
      <c r="EM135" s="146"/>
      <c r="EN135" s="146"/>
      <c r="EO135" s="146"/>
      <c r="EP135" s="146"/>
      <c r="EQ135" s="146"/>
      <c r="ER135" s="146"/>
      <c r="ES135" s="146"/>
      <c r="ET135" s="146"/>
      <c r="EU135" s="146"/>
      <c r="EV135" s="146"/>
      <c r="EW135" s="146"/>
      <c r="EX135" s="146"/>
      <c r="EY135" s="146"/>
      <c r="EZ135" s="146"/>
      <c r="FA135" s="146"/>
      <c r="FB135" s="146"/>
      <c r="FC135" s="146"/>
    </row>
    <row r="136" spans="2:159" s="93" customFormat="1">
      <c r="B136" s="125"/>
      <c r="C136" s="48"/>
      <c r="D136" s="120"/>
      <c r="E136" s="126"/>
      <c r="F136" s="44"/>
      <c r="G136" s="98"/>
      <c r="H136" s="97"/>
      <c r="I136" s="62"/>
      <c r="J136" s="62"/>
      <c r="K136" s="62"/>
      <c r="L136" s="111"/>
      <c r="M136" s="111"/>
      <c r="N136" s="111"/>
      <c r="P136" s="92"/>
      <c r="Q136" s="92"/>
      <c r="R136" s="92"/>
      <c r="S136" s="92"/>
      <c r="T136" s="92"/>
      <c r="U136" s="92"/>
      <c r="V136" s="92"/>
      <c r="W136" s="92"/>
      <c r="X136" s="92"/>
      <c r="Y136" s="92"/>
      <c r="Z136" s="92"/>
      <c r="AA136" s="92"/>
      <c r="AB136" s="92"/>
      <c r="AE136" s="125"/>
      <c r="AF136" s="117"/>
      <c r="AG136" s="117"/>
      <c r="AH136" s="46"/>
      <c r="AI136" s="46"/>
      <c r="AJ136" s="46"/>
      <c r="AK136" s="46"/>
      <c r="AL136" s="46"/>
      <c r="AM136" s="46"/>
      <c r="AN136" s="46"/>
      <c r="AO136" s="118"/>
      <c r="AP136" s="118"/>
      <c r="AQ136" s="142"/>
      <c r="AR136" s="279"/>
      <c r="AS136" s="48"/>
      <c r="AT136" s="280"/>
      <c r="AU136" s="44"/>
      <c r="AV136" s="44"/>
      <c r="AW136" s="97"/>
      <c r="AX136" s="62"/>
      <c r="AY136" s="62"/>
      <c r="AZ136" s="62"/>
      <c r="BA136" s="111"/>
      <c r="BB136" s="111"/>
      <c r="BC136" s="111"/>
      <c r="BD136" s="142"/>
      <c r="BE136" s="279"/>
      <c r="BF136" s="142"/>
      <c r="BG136" s="142"/>
      <c r="BH136" s="142"/>
      <c r="BI136" s="142"/>
      <c r="BJ136" s="142"/>
      <c r="BK136" s="142"/>
      <c r="BL136" s="142"/>
      <c r="BM136" s="142"/>
      <c r="BN136" s="142"/>
      <c r="BO136" s="142"/>
      <c r="BP136" s="142"/>
      <c r="BQ136" s="279"/>
      <c r="BR136" s="95"/>
      <c r="BS136" s="48"/>
      <c r="BT136" s="48"/>
      <c r="BU136" s="115"/>
      <c r="BV136" s="48"/>
      <c r="BW136" s="48"/>
      <c r="BX136" s="48"/>
      <c r="BY136" s="48"/>
      <c r="BZ136" s="48"/>
      <c r="CA136" s="110"/>
      <c r="CB136" s="142"/>
      <c r="CC136" s="142"/>
      <c r="CD136" s="279"/>
      <c r="CE136" s="142"/>
      <c r="CF136" s="142"/>
      <c r="CG136" s="142"/>
      <c r="CH136" s="142"/>
      <c r="CI136" s="142"/>
      <c r="CJ136" s="142"/>
      <c r="CK136" s="142"/>
      <c r="CL136" s="142"/>
      <c r="CM136" s="142"/>
      <c r="CN136" s="142"/>
      <c r="CO136" s="142"/>
      <c r="CP136" s="142"/>
      <c r="CQ136" s="142"/>
      <c r="CR136" s="142"/>
      <c r="CS136" s="142"/>
      <c r="CT136" s="142"/>
      <c r="CU136" s="142"/>
      <c r="CV136" s="142"/>
      <c r="CW136" s="142"/>
      <c r="CX136" s="142"/>
      <c r="CY136" s="142"/>
      <c r="CZ136" s="142"/>
      <c r="DA136" s="142"/>
      <c r="DB136" s="142"/>
      <c r="DC136" s="142"/>
      <c r="DD136" s="142"/>
      <c r="DE136" s="142"/>
      <c r="DF136" s="142"/>
      <c r="DG136" s="142"/>
      <c r="DH136" s="142"/>
      <c r="DI136" s="142"/>
      <c r="DJ136" s="142"/>
      <c r="DK136" s="142"/>
      <c r="DL136" s="142"/>
      <c r="DM136" s="142"/>
      <c r="DN136" s="142"/>
      <c r="DO136" s="142"/>
      <c r="DP136" s="142"/>
      <c r="DQ136" s="142"/>
      <c r="DR136" s="142"/>
      <c r="DS136" s="142"/>
      <c r="DT136" s="142"/>
      <c r="DU136" s="142"/>
      <c r="DV136" s="142"/>
      <c r="DW136" s="142"/>
      <c r="DX136" s="142"/>
      <c r="DY136" s="142"/>
      <c r="DZ136" s="142"/>
      <c r="EA136" s="142"/>
      <c r="EB136" s="142"/>
      <c r="EC136" s="142"/>
      <c r="ED136" s="142"/>
      <c r="EE136" s="146"/>
      <c r="EF136" s="146"/>
      <c r="EG136" s="146"/>
      <c r="EH136" s="146"/>
      <c r="EI136" s="146"/>
      <c r="EJ136" s="146"/>
      <c r="EK136" s="146"/>
      <c r="EL136" s="146"/>
      <c r="EM136" s="146"/>
      <c r="EN136" s="146"/>
      <c r="EO136" s="146"/>
      <c r="EP136" s="146"/>
      <c r="EQ136" s="146"/>
      <c r="ER136" s="146"/>
      <c r="ES136" s="146"/>
      <c r="ET136" s="146"/>
      <c r="EU136" s="146"/>
      <c r="EV136" s="146"/>
      <c r="EW136" s="146"/>
      <c r="EX136" s="146"/>
      <c r="EY136" s="146"/>
      <c r="EZ136" s="146"/>
      <c r="FA136" s="146"/>
      <c r="FB136" s="146"/>
      <c r="FC136" s="146"/>
    </row>
    <row r="137" spans="2:159" s="93" customFormat="1">
      <c r="B137" s="125"/>
      <c r="C137" s="48"/>
      <c r="D137" s="120"/>
      <c r="E137" s="126"/>
      <c r="F137" s="112"/>
      <c r="G137" s="98"/>
      <c r="H137" s="97"/>
      <c r="I137" s="62"/>
      <c r="J137" s="62"/>
      <c r="K137" s="62"/>
      <c r="L137" s="111"/>
      <c r="M137" s="111"/>
      <c r="N137" s="111"/>
      <c r="P137" s="92"/>
      <c r="Q137" s="92"/>
      <c r="R137" s="92"/>
      <c r="S137" s="92"/>
      <c r="T137" s="92"/>
      <c r="U137" s="92"/>
      <c r="V137" s="92"/>
      <c r="W137" s="92"/>
      <c r="X137" s="92"/>
      <c r="Y137" s="92"/>
      <c r="Z137" s="92"/>
      <c r="AA137" s="92"/>
      <c r="AB137" s="92"/>
      <c r="AE137" s="125"/>
      <c r="AF137" s="116"/>
      <c r="AG137" s="49"/>
      <c r="AH137" s="48"/>
      <c r="AI137" s="43"/>
      <c r="AJ137" s="48"/>
      <c r="AK137" s="48"/>
      <c r="AL137" s="119"/>
      <c r="AM137" s="119"/>
      <c r="AN137" s="119"/>
      <c r="AO137" s="128"/>
      <c r="AP137" s="128"/>
      <c r="AQ137" s="142"/>
      <c r="AR137" s="279"/>
      <c r="AS137" s="48"/>
      <c r="AT137" s="280"/>
      <c r="AU137" s="44"/>
      <c r="AV137" s="44"/>
      <c r="AW137" s="97"/>
      <c r="AX137" s="62"/>
      <c r="AY137" s="62"/>
      <c r="AZ137" s="62"/>
      <c r="BA137" s="111"/>
      <c r="BB137" s="111"/>
      <c r="BC137" s="111"/>
      <c r="BD137" s="142"/>
      <c r="BE137" s="279"/>
      <c r="BF137" s="142"/>
      <c r="BG137" s="142"/>
      <c r="BH137" s="142"/>
      <c r="BI137" s="142"/>
      <c r="BJ137" s="142"/>
      <c r="BK137" s="142"/>
      <c r="BL137" s="142"/>
      <c r="BM137" s="142"/>
      <c r="BN137" s="142"/>
      <c r="BO137" s="142"/>
      <c r="BP137" s="142"/>
      <c r="BQ137" s="279"/>
      <c r="BR137" s="142"/>
      <c r="BS137" s="142"/>
      <c r="BT137" s="142"/>
      <c r="BU137" s="142"/>
      <c r="BV137" s="142"/>
      <c r="BW137" s="142"/>
      <c r="BX137" s="142"/>
      <c r="BY137" s="142"/>
      <c r="BZ137" s="142"/>
      <c r="CA137" s="142"/>
      <c r="CB137" s="142"/>
      <c r="CC137" s="142"/>
      <c r="CD137" s="279"/>
      <c r="CE137" s="142"/>
      <c r="CF137" s="142"/>
      <c r="CG137" s="142"/>
      <c r="CH137" s="142"/>
      <c r="CI137" s="142"/>
      <c r="CJ137" s="142"/>
      <c r="CK137" s="142"/>
      <c r="CL137" s="142"/>
      <c r="CM137" s="142"/>
      <c r="CN137" s="142"/>
      <c r="CO137" s="142"/>
      <c r="CP137" s="142"/>
      <c r="CQ137" s="142"/>
      <c r="CR137" s="142"/>
      <c r="CS137" s="142"/>
      <c r="CT137" s="142"/>
      <c r="CU137" s="142"/>
      <c r="CV137" s="142"/>
      <c r="CW137" s="142"/>
      <c r="CX137" s="142"/>
      <c r="CY137" s="142"/>
      <c r="CZ137" s="142"/>
      <c r="DA137" s="142"/>
      <c r="DB137" s="142"/>
      <c r="DC137" s="142"/>
      <c r="DD137" s="142"/>
      <c r="DE137" s="142"/>
      <c r="DF137" s="142"/>
      <c r="DG137" s="142"/>
      <c r="DH137" s="142"/>
      <c r="DI137" s="142"/>
      <c r="DJ137" s="142"/>
      <c r="DK137" s="142"/>
      <c r="DL137" s="142"/>
      <c r="DM137" s="142"/>
      <c r="DN137" s="142"/>
      <c r="DO137" s="142"/>
      <c r="DP137" s="142"/>
      <c r="DQ137" s="142"/>
      <c r="DR137" s="142"/>
      <c r="DS137" s="142"/>
      <c r="DT137" s="142"/>
      <c r="DU137" s="142"/>
      <c r="DV137" s="142"/>
      <c r="DW137" s="142"/>
      <c r="DX137" s="142"/>
      <c r="DY137" s="142"/>
      <c r="DZ137" s="142"/>
      <c r="EA137" s="142"/>
      <c r="EB137" s="142"/>
      <c r="EC137" s="142"/>
      <c r="ED137" s="142"/>
      <c r="EE137" s="146"/>
      <c r="EF137" s="146"/>
      <c r="EG137" s="146"/>
      <c r="EH137" s="146"/>
      <c r="EI137" s="146"/>
      <c r="EJ137" s="146"/>
      <c r="EK137" s="146"/>
      <c r="EL137" s="146"/>
      <c r="EM137" s="146"/>
      <c r="EN137" s="146"/>
      <c r="EO137" s="146"/>
      <c r="EP137" s="146"/>
      <c r="EQ137" s="146"/>
      <c r="ER137" s="146"/>
      <c r="ES137" s="146"/>
      <c r="ET137" s="146"/>
      <c r="EU137" s="146"/>
      <c r="EV137" s="146"/>
      <c r="EW137" s="146"/>
      <c r="EX137" s="146"/>
      <c r="EY137" s="146"/>
      <c r="EZ137" s="146"/>
      <c r="FA137" s="146"/>
      <c r="FB137" s="146"/>
      <c r="FC137" s="146"/>
    </row>
    <row r="138" spans="2:159" s="93" customFormat="1">
      <c r="B138" s="125"/>
      <c r="C138" s="48"/>
      <c r="D138" s="120"/>
      <c r="E138" s="126"/>
      <c r="F138" s="44"/>
      <c r="G138" s="98"/>
      <c r="H138" s="97"/>
      <c r="I138" s="62"/>
      <c r="J138" s="62"/>
      <c r="K138" s="62"/>
      <c r="L138" s="111"/>
      <c r="M138" s="111"/>
      <c r="N138" s="111"/>
      <c r="P138" s="92"/>
      <c r="Q138" s="92"/>
      <c r="R138" s="92"/>
      <c r="S138" s="92"/>
      <c r="T138" s="92"/>
      <c r="U138" s="92"/>
      <c r="V138" s="92"/>
      <c r="W138" s="92"/>
      <c r="X138" s="92"/>
      <c r="Y138" s="92"/>
      <c r="Z138" s="92"/>
      <c r="AA138" s="92"/>
      <c r="AB138" s="92"/>
      <c r="AE138" s="125"/>
      <c r="AF138" s="43"/>
      <c r="AG138" s="280"/>
      <c r="AH138" s="121"/>
      <c r="AI138" s="44"/>
      <c r="AJ138" s="144"/>
      <c r="AK138" s="62"/>
      <c r="AL138" s="62"/>
      <c r="AM138" s="62"/>
      <c r="AN138" s="62"/>
      <c r="AO138" s="111"/>
      <c r="AP138" s="111"/>
      <c r="AQ138" s="142"/>
      <c r="AR138" s="279"/>
      <c r="AS138" s="48"/>
      <c r="AT138" s="280"/>
      <c r="AU138" s="281"/>
      <c r="AV138" s="281"/>
      <c r="AW138" s="97"/>
      <c r="AX138" s="62"/>
      <c r="AY138" s="62"/>
      <c r="AZ138" s="62"/>
      <c r="BA138" s="111"/>
      <c r="BB138" s="111"/>
      <c r="BC138" s="111"/>
      <c r="BD138" s="142"/>
      <c r="BE138" s="279"/>
      <c r="BF138" s="142"/>
      <c r="BG138" s="142"/>
      <c r="BH138" s="142"/>
      <c r="BI138" s="142"/>
      <c r="BJ138" s="142"/>
      <c r="BK138" s="142"/>
      <c r="BL138" s="142"/>
      <c r="BM138" s="142"/>
      <c r="BN138" s="142"/>
      <c r="BO138" s="142"/>
      <c r="BP138" s="142"/>
      <c r="BQ138" s="279"/>
      <c r="BR138" s="142"/>
      <c r="BS138" s="142"/>
      <c r="BT138" s="142"/>
      <c r="BU138" s="142"/>
      <c r="BV138" s="142"/>
      <c r="BW138" s="142"/>
      <c r="BX138" s="142"/>
      <c r="BY138" s="142"/>
      <c r="BZ138" s="142"/>
      <c r="CA138" s="142"/>
      <c r="CB138" s="142"/>
      <c r="CC138" s="142"/>
      <c r="CD138" s="279"/>
      <c r="CE138" s="142"/>
      <c r="CF138" s="142"/>
      <c r="CG138" s="142"/>
      <c r="CH138" s="142"/>
      <c r="CI138" s="142"/>
      <c r="CJ138" s="142"/>
      <c r="CK138" s="142"/>
      <c r="CL138" s="142"/>
      <c r="CM138" s="142"/>
      <c r="CN138" s="142"/>
      <c r="CO138" s="142"/>
      <c r="CP138" s="142"/>
      <c r="CQ138" s="142"/>
      <c r="CR138" s="142"/>
      <c r="CS138" s="142"/>
      <c r="CT138" s="142"/>
      <c r="CU138" s="142"/>
      <c r="CV138" s="142"/>
      <c r="CW138" s="142"/>
      <c r="CX138" s="142"/>
      <c r="CY138" s="142"/>
      <c r="CZ138" s="142"/>
      <c r="DA138" s="142"/>
      <c r="DB138" s="142"/>
      <c r="DC138" s="142"/>
      <c r="DD138" s="142"/>
      <c r="DE138" s="142"/>
      <c r="DF138" s="142"/>
      <c r="DG138" s="142"/>
      <c r="DH138" s="142"/>
      <c r="DI138" s="142"/>
      <c r="DJ138" s="142"/>
      <c r="DK138" s="142"/>
      <c r="DL138" s="142"/>
      <c r="DM138" s="142"/>
      <c r="DN138" s="142"/>
      <c r="DO138" s="142"/>
      <c r="DP138" s="142"/>
      <c r="DQ138" s="142"/>
      <c r="DR138" s="142"/>
      <c r="DS138" s="142"/>
      <c r="DT138" s="142"/>
      <c r="DU138" s="142"/>
      <c r="DV138" s="142"/>
      <c r="DW138" s="142"/>
      <c r="DX138" s="142"/>
      <c r="DY138" s="142"/>
      <c r="DZ138" s="142"/>
      <c r="EA138" s="142"/>
      <c r="EB138" s="142"/>
      <c r="EC138" s="142"/>
      <c r="ED138" s="142"/>
      <c r="EE138" s="146"/>
      <c r="EF138" s="146"/>
      <c r="EG138" s="146"/>
      <c r="EH138" s="146"/>
      <c r="EI138" s="146"/>
      <c r="EJ138" s="146"/>
      <c r="EK138" s="146"/>
      <c r="EL138" s="146"/>
      <c r="EM138" s="146"/>
      <c r="EN138" s="146"/>
      <c r="EO138" s="146"/>
      <c r="EP138" s="146"/>
      <c r="EQ138" s="146"/>
      <c r="ER138" s="146"/>
      <c r="ES138" s="146"/>
      <c r="ET138" s="146"/>
      <c r="EU138" s="146"/>
      <c r="EV138" s="146"/>
      <c r="EW138" s="146"/>
      <c r="EX138" s="146"/>
      <c r="EY138" s="146"/>
      <c r="EZ138" s="146"/>
      <c r="FA138" s="146"/>
      <c r="FB138" s="146"/>
      <c r="FC138" s="146"/>
    </row>
    <row r="139" spans="2:159" s="93" customFormat="1">
      <c r="B139" s="125"/>
      <c r="C139" s="48"/>
      <c r="D139" s="120"/>
      <c r="E139" s="126"/>
      <c r="F139" s="44"/>
      <c r="G139" s="98"/>
      <c r="H139" s="97"/>
      <c r="I139" s="62"/>
      <c r="J139" s="62"/>
      <c r="K139" s="62"/>
      <c r="L139" s="111"/>
      <c r="M139" s="111"/>
      <c r="N139" s="111"/>
      <c r="P139" s="92"/>
      <c r="Q139" s="92"/>
      <c r="R139" s="92"/>
      <c r="S139" s="92"/>
      <c r="T139" s="92"/>
      <c r="U139" s="92"/>
      <c r="V139" s="92"/>
      <c r="W139" s="92"/>
      <c r="X139" s="92"/>
      <c r="Y139" s="92"/>
      <c r="Z139" s="92"/>
      <c r="AA139" s="92"/>
      <c r="AB139" s="92"/>
      <c r="AE139" s="125"/>
      <c r="AF139" s="43"/>
      <c r="AG139" s="280"/>
      <c r="AH139" s="121"/>
      <c r="AI139" s="281"/>
      <c r="AJ139" s="144"/>
      <c r="AK139" s="121"/>
      <c r="AL139" s="62"/>
      <c r="AM139" s="62"/>
      <c r="AN139" s="62"/>
      <c r="AO139" s="111"/>
      <c r="AP139" s="111"/>
      <c r="AQ139" s="142"/>
      <c r="AR139" s="279"/>
      <c r="AS139" s="48"/>
      <c r="AT139" s="280"/>
      <c r="AU139" s="44"/>
      <c r="AV139" s="44"/>
      <c r="AW139" s="97"/>
      <c r="AX139" s="62"/>
      <c r="AY139" s="62"/>
      <c r="AZ139" s="62"/>
      <c r="BA139" s="111"/>
      <c r="BB139" s="111"/>
      <c r="BC139" s="111"/>
      <c r="BD139" s="142"/>
      <c r="BE139" s="279"/>
      <c r="BF139" s="142"/>
      <c r="BG139" s="142"/>
      <c r="BH139" s="142"/>
      <c r="BI139" s="142"/>
      <c r="BJ139" s="142"/>
      <c r="BK139" s="142"/>
      <c r="BL139" s="142"/>
      <c r="BM139" s="142"/>
      <c r="BN139" s="142"/>
      <c r="BO139" s="142"/>
      <c r="BP139" s="142"/>
      <c r="BQ139" s="279"/>
      <c r="BR139" s="142"/>
      <c r="BS139" s="142"/>
      <c r="BT139" s="142"/>
      <c r="BU139" s="142"/>
      <c r="BV139" s="142"/>
      <c r="BW139" s="142"/>
      <c r="BX139" s="142"/>
      <c r="BY139" s="142"/>
      <c r="BZ139" s="142"/>
      <c r="CA139" s="142"/>
      <c r="CB139" s="142"/>
      <c r="CC139" s="142"/>
      <c r="CD139" s="279"/>
      <c r="CE139" s="142"/>
      <c r="CF139" s="142"/>
      <c r="CG139" s="142"/>
      <c r="CH139" s="142"/>
      <c r="CI139" s="142"/>
      <c r="CJ139" s="142"/>
      <c r="CK139" s="142"/>
      <c r="CL139" s="142"/>
      <c r="CM139" s="142"/>
      <c r="CN139" s="142"/>
      <c r="CO139" s="142"/>
      <c r="CP139" s="142"/>
      <c r="CQ139" s="142"/>
      <c r="CR139" s="142"/>
      <c r="CS139" s="142"/>
      <c r="CT139" s="142"/>
      <c r="CU139" s="142"/>
      <c r="CV139" s="142"/>
      <c r="CW139" s="142"/>
      <c r="CX139" s="142"/>
      <c r="CY139" s="142"/>
      <c r="CZ139" s="142"/>
      <c r="DA139" s="142"/>
      <c r="DB139" s="142"/>
      <c r="DC139" s="142"/>
      <c r="DD139" s="142"/>
      <c r="DE139" s="142"/>
      <c r="DF139" s="142"/>
      <c r="DG139" s="142"/>
      <c r="DH139" s="142"/>
      <c r="DI139" s="142"/>
      <c r="DJ139" s="142"/>
      <c r="DK139" s="142"/>
      <c r="DL139" s="142"/>
      <c r="DM139" s="142"/>
      <c r="DN139" s="142"/>
      <c r="DO139" s="142"/>
      <c r="DP139" s="142"/>
      <c r="DQ139" s="142"/>
      <c r="DR139" s="142"/>
      <c r="DS139" s="142"/>
      <c r="DT139" s="142"/>
      <c r="DU139" s="142"/>
      <c r="DV139" s="142"/>
      <c r="DW139" s="142"/>
      <c r="DX139" s="142"/>
      <c r="DY139" s="142"/>
      <c r="DZ139" s="142"/>
      <c r="EA139" s="142"/>
      <c r="EB139" s="142"/>
      <c r="EC139" s="142"/>
      <c r="ED139" s="142"/>
      <c r="EE139" s="146"/>
      <c r="EF139" s="146"/>
      <c r="EG139" s="146"/>
      <c r="EH139" s="146"/>
      <c r="EI139" s="146"/>
      <c r="EJ139" s="146"/>
      <c r="EK139" s="146"/>
      <c r="EL139" s="146"/>
      <c r="EM139" s="146"/>
      <c r="EN139" s="146"/>
      <c r="EO139" s="146"/>
      <c r="EP139" s="146"/>
      <c r="EQ139" s="146"/>
      <c r="ER139" s="146"/>
      <c r="ES139" s="146"/>
      <c r="ET139" s="146"/>
      <c r="EU139" s="146"/>
      <c r="EV139" s="146"/>
      <c r="EW139" s="146"/>
      <c r="EX139" s="146"/>
      <c r="EY139" s="146"/>
      <c r="EZ139" s="146"/>
      <c r="FA139" s="146"/>
      <c r="FB139" s="146"/>
      <c r="FC139" s="146"/>
    </row>
    <row r="140" spans="2:159" s="93" customFormat="1">
      <c r="B140" s="125"/>
      <c r="C140" s="48"/>
      <c r="D140" s="120"/>
      <c r="E140" s="126"/>
      <c r="F140" s="112"/>
      <c r="G140" s="98"/>
      <c r="H140" s="97"/>
      <c r="I140" s="62"/>
      <c r="J140" s="62"/>
      <c r="K140" s="62"/>
      <c r="L140" s="111"/>
      <c r="M140" s="111"/>
      <c r="N140" s="111"/>
      <c r="P140" s="92"/>
      <c r="Q140" s="92"/>
      <c r="R140" s="92"/>
      <c r="S140" s="92"/>
      <c r="T140" s="92"/>
      <c r="U140" s="92"/>
      <c r="V140" s="92"/>
      <c r="W140" s="92"/>
      <c r="X140" s="92"/>
      <c r="Y140" s="92"/>
      <c r="Z140" s="92"/>
      <c r="AA140" s="92"/>
      <c r="AB140" s="92"/>
      <c r="AE140" s="125"/>
      <c r="AF140" s="43"/>
      <c r="AG140" s="280"/>
      <c r="AH140" s="121"/>
      <c r="AI140" s="44"/>
      <c r="AJ140" s="144"/>
      <c r="AK140" s="121"/>
      <c r="AL140" s="62"/>
      <c r="AM140" s="62"/>
      <c r="AN140" s="62"/>
      <c r="AO140" s="111"/>
      <c r="AP140" s="111"/>
      <c r="AQ140" s="142"/>
      <c r="AR140" s="279"/>
      <c r="AS140" s="48"/>
      <c r="AT140" s="280"/>
      <c r="AU140" s="44"/>
      <c r="AV140" s="44"/>
      <c r="AW140" s="97"/>
      <c r="AX140" s="62"/>
      <c r="AY140" s="62"/>
      <c r="AZ140" s="62"/>
      <c r="BA140" s="111"/>
      <c r="BB140" s="111"/>
      <c r="BC140" s="111"/>
      <c r="BD140" s="142"/>
      <c r="BE140" s="279"/>
      <c r="BF140" s="142"/>
      <c r="BG140" s="142"/>
      <c r="BH140" s="142"/>
      <c r="BI140" s="142"/>
      <c r="BJ140" s="142"/>
      <c r="BK140" s="142"/>
      <c r="BL140" s="142"/>
      <c r="BM140" s="142"/>
      <c r="BN140" s="142"/>
      <c r="BO140" s="142"/>
      <c r="BP140" s="142"/>
      <c r="BQ140" s="279"/>
      <c r="BR140" s="142"/>
      <c r="BS140" s="142"/>
      <c r="BT140" s="142"/>
      <c r="BU140" s="142"/>
      <c r="BV140" s="142"/>
      <c r="BW140" s="142"/>
      <c r="BX140" s="142"/>
      <c r="BY140" s="142"/>
      <c r="BZ140" s="142"/>
      <c r="CA140" s="142"/>
      <c r="CB140" s="142"/>
      <c r="CC140" s="142"/>
      <c r="CD140" s="279"/>
      <c r="CE140" s="142"/>
      <c r="CF140" s="142"/>
      <c r="CG140" s="142"/>
      <c r="CH140" s="142"/>
      <c r="CI140" s="142"/>
      <c r="CJ140" s="142"/>
      <c r="CK140" s="142"/>
      <c r="CL140" s="142"/>
      <c r="CM140" s="142"/>
      <c r="CN140" s="142"/>
      <c r="CO140" s="142"/>
      <c r="CP140" s="142"/>
      <c r="CQ140" s="142"/>
      <c r="CR140" s="142"/>
      <c r="CS140" s="142"/>
      <c r="CT140" s="142"/>
      <c r="CU140" s="142"/>
      <c r="CV140" s="142"/>
      <c r="CW140" s="142"/>
      <c r="CX140" s="142"/>
      <c r="CY140" s="142"/>
      <c r="CZ140" s="142"/>
      <c r="DA140" s="142"/>
      <c r="DB140" s="142"/>
      <c r="DC140" s="142"/>
      <c r="DD140" s="142"/>
      <c r="DE140" s="142"/>
      <c r="DF140" s="142"/>
      <c r="DG140" s="142"/>
      <c r="DH140" s="142"/>
      <c r="DI140" s="142"/>
      <c r="DJ140" s="142"/>
      <c r="DK140" s="142"/>
      <c r="DL140" s="142"/>
      <c r="DM140" s="142"/>
      <c r="DN140" s="142"/>
      <c r="DO140" s="142"/>
      <c r="DP140" s="142"/>
      <c r="DQ140" s="142"/>
      <c r="DR140" s="142"/>
      <c r="DS140" s="142"/>
      <c r="DT140" s="142"/>
      <c r="DU140" s="142"/>
      <c r="DV140" s="142"/>
      <c r="DW140" s="142"/>
      <c r="DX140" s="142"/>
      <c r="DY140" s="142"/>
      <c r="DZ140" s="142"/>
      <c r="EA140" s="142"/>
      <c r="EB140" s="142"/>
      <c r="EC140" s="142"/>
      <c r="ED140" s="142"/>
      <c r="EE140" s="146"/>
      <c r="EF140" s="146"/>
      <c r="EG140" s="146"/>
      <c r="EH140" s="146"/>
      <c r="EI140" s="146"/>
      <c r="EJ140" s="146"/>
      <c r="EK140" s="146"/>
      <c r="EL140" s="146"/>
      <c r="EM140" s="146"/>
      <c r="EN140" s="146"/>
      <c r="EO140" s="146"/>
      <c r="EP140" s="146"/>
      <c r="EQ140" s="146"/>
      <c r="ER140" s="146"/>
      <c r="ES140" s="146"/>
      <c r="ET140" s="146"/>
      <c r="EU140" s="146"/>
      <c r="EV140" s="146"/>
      <c r="EW140" s="146"/>
      <c r="EX140" s="146"/>
      <c r="EY140" s="146"/>
      <c r="EZ140" s="146"/>
      <c r="FA140" s="146"/>
      <c r="FB140" s="146"/>
      <c r="FC140" s="146"/>
    </row>
    <row r="141" spans="2:159" s="93" customFormat="1">
      <c r="B141" s="125"/>
      <c r="C141" s="48"/>
      <c r="D141" s="120"/>
      <c r="E141" s="126"/>
      <c r="F141" s="44"/>
      <c r="G141" s="98"/>
      <c r="H141" s="97"/>
      <c r="I141" s="62"/>
      <c r="J141" s="62"/>
      <c r="K141" s="62"/>
      <c r="L141" s="111"/>
      <c r="M141" s="111"/>
      <c r="N141" s="111"/>
      <c r="P141" s="92"/>
      <c r="Q141" s="92"/>
      <c r="R141" s="92"/>
      <c r="S141" s="92"/>
      <c r="T141" s="92"/>
      <c r="U141" s="92"/>
      <c r="V141" s="92"/>
      <c r="W141" s="92"/>
      <c r="X141" s="92"/>
      <c r="Y141" s="92"/>
      <c r="Z141" s="92"/>
      <c r="AA141" s="92"/>
      <c r="AB141" s="92"/>
      <c r="AE141" s="125"/>
      <c r="AF141" s="43"/>
      <c r="AG141" s="280"/>
      <c r="AH141" s="121"/>
      <c r="AI141" s="44"/>
      <c r="AJ141" s="144"/>
      <c r="AK141" s="121"/>
      <c r="AL141" s="62"/>
      <c r="AM141" s="62"/>
      <c r="AN141" s="62"/>
      <c r="AO141" s="111"/>
      <c r="AP141" s="111"/>
      <c r="AQ141" s="142"/>
      <c r="AR141" s="279"/>
      <c r="AS141" s="48"/>
      <c r="AT141" s="280"/>
      <c r="AU141" s="281"/>
      <c r="AV141" s="281"/>
      <c r="AW141" s="97"/>
      <c r="AX141" s="62"/>
      <c r="AY141" s="62"/>
      <c r="AZ141" s="62"/>
      <c r="BA141" s="111"/>
      <c r="BB141" s="111"/>
      <c r="BC141" s="111"/>
      <c r="BD141" s="142"/>
      <c r="BE141" s="279"/>
      <c r="BF141" s="142"/>
      <c r="BG141" s="142"/>
      <c r="BH141" s="142"/>
      <c r="BI141" s="142"/>
      <c r="BJ141" s="142"/>
      <c r="BK141" s="142"/>
      <c r="BL141" s="142"/>
      <c r="BM141" s="142"/>
      <c r="BN141" s="142"/>
      <c r="BO141" s="142"/>
      <c r="BP141" s="142"/>
      <c r="BQ141" s="279"/>
      <c r="BR141" s="142"/>
      <c r="BS141" s="142"/>
      <c r="BT141" s="142"/>
      <c r="BU141" s="142"/>
      <c r="BV141" s="142"/>
      <c r="BW141" s="142"/>
      <c r="BX141" s="142"/>
      <c r="BY141" s="142"/>
      <c r="BZ141" s="142"/>
      <c r="CA141" s="142"/>
      <c r="CB141" s="142"/>
      <c r="CC141" s="142"/>
      <c r="CD141" s="279"/>
      <c r="CE141" s="142"/>
      <c r="CF141" s="142"/>
      <c r="CG141" s="142"/>
      <c r="CH141" s="142"/>
      <c r="CI141" s="142"/>
      <c r="CJ141" s="142"/>
      <c r="CK141" s="142"/>
      <c r="CL141" s="142"/>
      <c r="CM141" s="142"/>
      <c r="CN141" s="142"/>
      <c r="CO141" s="142"/>
      <c r="CP141" s="142"/>
      <c r="CQ141" s="142"/>
      <c r="CR141" s="142"/>
      <c r="CS141" s="142"/>
      <c r="CT141" s="142"/>
      <c r="CU141" s="142"/>
      <c r="CV141" s="142"/>
      <c r="CW141" s="142"/>
      <c r="CX141" s="142"/>
      <c r="CY141" s="142"/>
      <c r="CZ141" s="142"/>
      <c r="DA141" s="142"/>
      <c r="DB141" s="142"/>
      <c r="DC141" s="142"/>
      <c r="DD141" s="142"/>
      <c r="DE141" s="142"/>
      <c r="DF141" s="142"/>
      <c r="DG141" s="142"/>
      <c r="DH141" s="142"/>
      <c r="DI141" s="142"/>
      <c r="DJ141" s="142"/>
      <c r="DK141" s="142"/>
      <c r="DL141" s="142"/>
      <c r="DM141" s="142"/>
      <c r="DN141" s="142"/>
      <c r="DO141" s="142"/>
      <c r="DP141" s="142"/>
      <c r="DQ141" s="142"/>
      <c r="DR141" s="142"/>
      <c r="DS141" s="142"/>
      <c r="DT141" s="142"/>
      <c r="DU141" s="142"/>
      <c r="DV141" s="142"/>
      <c r="DW141" s="142"/>
      <c r="DX141" s="142"/>
      <c r="DY141" s="142"/>
      <c r="DZ141" s="142"/>
      <c r="EA141" s="142"/>
      <c r="EB141" s="142"/>
      <c r="EC141" s="142"/>
      <c r="ED141" s="142"/>
      <c r="EE141" s="146"/>
      <c r="EF141" s="146"/>
      <c r="EG141" s="146"/>
      <c r="EH141" s="146"/>
      <c r="EI141" s="146"/>
      <c r="EJ141" s="146"/>
      <c r="EK141" s="146"/>
      <c r="EL141" s="146"/>
      <c r="EM141" s="146"/>
      <c r="EN141" s="146"/>
      <c r="EO141" s="146"/>
      <c r="EP141" s="146"/>
      <c r="EQ141" s="146"/>
      <c r="ER141" s="146"/>
      <c r="ES141" s="146"/>
      <c r="ET141" s="146"/>
      <c r="EU141" s="146"/>
      <c r="EV141" s="146"/>
      <c r="EW141" s="146"/>
      <c r="EX141" s="146"/>
      <c r="EY141" s="146"/>
      <c r="EZ141" s="146"/>
      <c r="FA141" s="146"/>
      <c r="FB141" s="146"/>
      <c r="FC141" s="146"/>
    </row>
    <row r="142" spans="2:159" s="93" customFormat="1">
      <c r="B142" s="125"/>
      <c r="C142" s="127"/>
      <c r="D142" s="129"/>
      <c r="E142" s="97"/>
      <c r="F142" s="98"/>
      <c r="G142" s="111"/>
      <c r="H142" s="111"/>
      <c r="I142" s="111"/>
      <c r="J142" s="111"/>
      <c r="K142" s="111"/>
      <c r="L142" s="111"/>
      <c r="M142" s="111"/>
      <c r="N142" s="111"/>
      <c r="P142" s="92"/>
      <c r="Q142" s="92"/>
      <c r="R142" s="92"/>
      <c r="S142" s="92"/>
      <c r="T142" s="92"/>
      <c r="U142" s="92"/>
      <c r="V142" s="92"/>
      <c r="W142" s="92"/>
      <c r="X142" s="92"/>
      <c r="Y142" s="92"/>
      <c r="Z142" s="92"/>
      <c r="AA142" s="92"/>
      <c r="AB142" s="92"/>
      <c r="AE142" s="125"/>
      <c r="AF142" s="43"/>
      <c r="AG142" s="280"/>
      <c r="AH142" s="121"/>
      <c r="AI142" s="281"/>
      <c r="AJ142" s="144"/>
      <c r="AK142" s="121"/>
      <c r="AL142" s="62"/>
      <c r="AM142" s="62"/>
      <c r="AN142" s="62"/>
      <c r="AO142" s="111"/>
      <c r="AP142" s="111"/>
      <c r="AQ142" s="142"/>
      <c r="AR142" s="279"/>
      <c r="AS142" s="48"/>
      <c r="AT142" s="280"/>
      <c r="AU142" s="44"/>
      <c r="AV142" s="44"/>
      <c r="AW142" s="97"/>
      <c r="AX142" s="62"/>
      <c r="AY142" s="62"/>
      <c r="AZ142" s="62"/>
      <c r="BA142" s="111"/>
      <c r="BB142" s="111"/>
      <c r="BC142" s="111"/>
      <c r="BD142" s="142"/>
      <c r="BE142" s="279"/>
      <c r="BF142" s="142"/>
      <c r="BG142" s="142"/>
      <c r="BH142" s="142"/>
      <c r="BI142" s="142"/>
      <c r="BJ142" s="142"/>
      <c r="BK142" s="142"/>
      <c r="BL142" s="142"/>
      <c r="BM142" s="142"/>
      <c r="BN142" s="142"/>
      <c r="BO142" s="142"/>
      <c r="BP142" s="142"/>
      <c r="BQ142" s="279"/>
      <c r="BR142" s="142"/>
      <c r="BS142" s="142"/>
      <c r="BT142" s="142"/>
      <c r="BU142" s="142"/>
      <c r="BV142" s="142"/>
      <c r="BW142" s="142"/>
      <c r="BX142" s="142"/>
      <c r="BY142" s="142"/>
      <c r="BZ142" s="142"/>
      <c r="CA142" s="142"/>
      <c r="CB142" s="142"/>
      <c r="CC142" s="142"/>
      <c r="CD142" s="279"/>
      <c r="CE142" s="142"/>
      <c r="CF142" s="142"/>
      <c r="CG142" s="142"/>
      <c r="CH142" s="142"/>
      <c r="CI142" s="142"/>
      <c r="CJ142" s="142"/>
      <c r="CK142" s="142"/>
      <c r="CL142" s="142"/>
      <c r="CM142" s="142"/>
      <c r="CN142" s="142"/>
      <c r="CO142" s="142"/>
      <c r="CP142" s="142"/>
      <c r="CQ142" s="142"/>
      <c r="CR142" s="142"/>
      <c r="CS142" s="142"/>
      <c r="CT142" s="142"/>
      <c r="CU142" s="142"/>
      <c r="CV142" s="142"/>
      <c r="CW142" s="142"/>
      <c r="CX142" s="142"/>
      <c r="CY142" s="142"/>
      <c r="CZ142" s="142"/>
      <c r="DA142" s="142"/>
      <c r="DB142" s="142"/>
      <c r="DC142" s="142"/>
      <c r="DD142" s="142"/>
      <c r="DE142" s="142"/>
      <c r="DF142" s="142"/>
      <c r="DG142" s="142"/>
      <c r="DH142" s="142"/>
      <c r="DI142" s="142"/>
      <c r="DJ142" s="142"/>
      <c r="DK142" s="142"/>
      <c r="DL142" s="142"/>
      <c r="DM142" s="142"/>
      <c r="DN142" s="142"/>
      <c r="DO142" s="142"/>
      <c r="DP142" s="142"/>
      <c r="DQ142" s="142"/>
      <c r="DR142" s="142"/>
      <c r="DS142" s="142"/>
      <c r="DT142" s="142"/>
      <c r="DU142" s="142"/>
      <c r="DV142" s="142"/>
      <c r="DW142" s="142"/>
      <c r="DX142" s="142"/>
      <c r="DY142" s="142"/>
      <c r="DZ142" s="142"/>
      <c r="EA142" s="142"/>
      <c r="EB142" s="142"/>
      <c r="EC142" s="142"/>
      <c r="ED142" s="142"/>
      <c r="EE142" s="146"/>
      <c r="EF142" s="146"/>
      <c r="EG142" s="146"/>
      <c r="EH142" s="146"/>
      <c r="EI142" s="146"/>
      <c r="EJ142" s="146"/>
      <c r="EK142" s="146"/>
      <c r="EL142" s="146"/>
      <c r="EM142" s="146"/>
      <c r="EN142" s="146"/>
      <c r="EO142" s="146"/>
      <c r="EP142" s="146"/>
      <c r="EQ142" s="146"/>
      <c r="ER142" s="146"/>
      <c r="ES142" s="146"/>
      <c r="ET142" s="146"/>
      <c r="EU142" s="146"/>
      <c r="EV142" s="146"/>
      <c r="EW142" s="146"/>
      <c r="EX142" s="146"/>
      <c r="EY142" s="146"/>
      <c r="EZ142" s="146"/>
      <c r="FA142" s="146"/>
      <c r="FB142" s="146"/>
      <c r="FC142" s="146"/>
    </row>
    <row r="143" spans="2:159" s="93" customFormat="1">
      <c r="B143" s="125"/>
      <c r="C143" s="48"/>
      <c r="D143" s="43"/>
      <c r="E143" s="48"/>
      <c r="F143" s="42"/>
      <c r="G143" s="98"/>
      <c r="H143" s="97"/>
      <c r="I143" s="62"/>
      <c r="J143" s="62"/>
      <c r="K143" s="62"/>
      <c r="L143" s="111"/>
      <c r="M143" s="111"/>
      <c r="N143" s="111"/>
      <c r="P143" s="92"/>
      <c r="Q143" s="92"/>
      <c r="R143" s="92"/>
      <c r="S143" s="92"/>
      <c r="T143" s="92"/>
      <c r="U143" s="92"/>
      <c r="V143" s="92"/>
      <c r="W143" s="92"/>
      <c r="X143" s="92"/>
      <c r="Y143" s="92"/>
      <c r="Z143" s="92"/>
      <c r="AA143" s="92"/>
      <c r="AB143" s="92"/>
      <c r="AE143" s="125"/>
      <c r="AF143" s="43"/>
      <c r="AG143" s="280"/>
      <c r="AH143" s="121"/>
      <c r="AI143" s="44"/>
      <c r="AJ143" s="144"/>
      <c r="AK143" s="121"/>
      <c r="AL143" s="62"/>
      <c r="AM143" s="62"/>
      <c r="AN143" s="62"/>
      <c r="AO143" s="111"/>
      <c r="AP143" s="111"/>
      <c r="AQ143" s="142"/>
      <c r="AR143" s="279"/>
      <c r="AS143" s="48"/>
      <c r="AT143" s="280"/>
      <c r="AU143" s="44"/>
      <c r="AV143" s="44"/>
      <c r="AW143" s="97"/>
      <c r="AX143" s="62"/>
      <c r="AY143" s="62"/>
      <c r="AZ143" s="62"/>
      <c r="BA143" s="111"/>
      <c r="BB143" s="111"/>
      <c r="BC143" s="111"/>
      <c r="BD143" s="142"/>
      <c r="BE143" s="279"/>
      <c r="BF143" s="142"/>
      <c r="BG143" s="142"/>
      <c r="BH143" s="142"/>
      <c r="BI143" s="142"/>
      <c r="BJ143" s="142"/>
      <c r="BK143" s="142"/>
      <c r="BL143" s="142"/>
      <c r="BM143" s="142"/>
      <c r="BN143" s="142"/>
      <c r="BO143" s="142"/>
      <c r="BP143" s="142"/>
      <c r="BQ143" s="279"/>
      <c r="BR143" s="142"/>
      <c r="BS143" s="142"/>
      <c r="BT143" s="142"/>
      <c r="BU143" s="142"/>
      <c r="BV143" s="142"/>
      <c r="BW143" s="142"/>
      <c r="BX143" s="142"/>
      <c r="BY143" s="142"/>
      <c r="BZ143" s="142"/>
      <c r="CA143" s="142"/>
      <c r="CB143" s="142"/>
      <c r="CC143" s="142"/>
      <c r="CD143" s="279"/>
      <c r="CE143" s="142"/>
      <c r="CF143" s="142"/>
      <c r="CG143" s="142"/>
      <c r="CH143" s="142"/>
      <c r="CI143" s="142"/>
      <c r="CJ143" s="142"/>
      <c r="CK143" s="142"/>
      <c r="CL143" s="142"/>
      <c r="CM143" s="142"/>
      <c r="CN143" s="142"/>
      <c r="CO143" s="142"/>
      <c r="CP143" s="142"/>
      <c r="CQ143" s="142"/>
      <c r="CR143" s="142"/>
      <c r="CS143" s="142"/>
      <c r="CT143" s="142"/>
      <c r="CU143" s="142"/>
      <c r="CV143" s="142"/>
      <c r="CW143" s="142"/>
      <c r="CX143" s="142"/>
      <c r="CY143" s="142"/>
      <c r="CZ143" s="142"/>
      <c r="DA143" s="142"/>
      <c r="DB143" s="142"/>
      <c r="DC143" s="142"/>
      <c r="DD143" s="142"/>
      <c r="DE143" s="142"/>
      <c r="DF143" s="142"/>
      <c r="DG143" s="142"/>
      <c r="DH143" s="142"/>
      <c r="DI143" s="142"/>
      <c r="DJ143" s="142"/>
      <c r="DK143" s="142"/>
      <c r="DL143" s="142"/>
      <c r="DM143" s="142"/>
      <c r="DN143" s="142"/>
      <c r="DO143" s="142"/>
      <c r="DP143" s="142"/>
      <c r="DQ143" s="142"/>
      <c r="DR143" s="142"/>
      <c r="DS143" s="142"/>
      <c r="DT143" s="142"/>
      <c r="DU143" s="142"/>
      <c r="DV143" s="142"/>
      <c r="DW143" s="142"/>
      <c r="DX143" s="142"/>
      <c r="DY143" s="142"/>
      <c r="DZ143" s="142"/>
      <c r="EA143" s="142"/>
      <c r="EB143" s="142"/>
      <c r="EC143" s="142"/>
      <c r="ED143" s="142"/>
      <c r="EE143" s="146"/>
      <c r="EF143" s="146"/>
      <c r="EG143" s="146"/>
      <c r="EH143" s="146"/>
      <c r="EI143" s="146"/>
      <c r="EJ143" s="146"/>
      <c r="EK143" s="146"/>
      <c r="EL143" s="146"/>
      <c r="EM143" s="146"/>
      <c r="EN143" s="146"/>
      <c r="EO143" s="146"/>
      <c r="EP143" s="146"/>
      <c r="EQ143" s="146"/>
      <c r="ER143" s="146"/>
      <c r="ES143" s="146"/>
      <c r="ET143" s="146"/>
      <c r="EU143" s="146"/>
      <c r="EV143" s="146"/>
      <c r="EW143" s="146"/>
      <c r="EX143" s="146"/>
      <c r="EY143" s="146"/>
      <c r="EZ143" s="146"/>
      <c r="FA143" s="146"/>
      <c r="FB143" s="146"/>
      <c r="FC143" s="146"/>
    </row>
    <row r="144" spans="2:159" s="93" customFormat="1">
      <c r="B144" s="125"/>
      <c r="P144" s="92"/>
      <c r="Q144" s="92"/>
      <c r="R144" s="92"/>
      <c r="S144" s="92"/>
      <c r="T144" s="92"/>
      <c r="U144" s="92"/>
      <c r="V144" s="92"/>
      <c r="W144" s="92"/>
      <c r="X144" s="92"/>
      <c r="Y144" s="92"/>
      <c r="Z144" s="92"/>
      <c r="AA144" s="92"/>
      <c r="AB144" s="92"/>
      <c r="AE144" s="125"/>
      <c r="AF144" s="48"/>
      <c r="AG144" s="280"/>
      <c r="AH144" s="121"/>
      <c r="AI144" s="44"/>
      <c r="AJ144" s="144"/>
      <c r="AK144" s="121"/>
      <c r="AL144" s="62"/>
      <c r="AM144" s="62"/>
      <c r="AN144" s="62"/>
      <c r="AO144" s="111"/>
      <c r="AP144" s="111"/>
      <c r="AQ144" s="142"/>
      <c r="AR144" s="279"/>
      <c r="AS144" s="48"/>
      <c r="AT144" s="280"/>
      <c r="AU144" s="281"/>
      <c r="AV144" s="281"/>
      <c r="AW144" s="97"/>
      <c r="AX144" s="62"/>
      <c r="AY144" s="62"/>
      <c r="AZ144" s="62"/>
      <c r="BA144" s="111"/>
      <c r="BB144" s="111"/>
      <c r="BC144" s="111"/>
      <c r="BD144" s="142"/>
      <c r="BE144" s="279"/>
      <c r="BF144" s="142"/>
      <c r="BG144" s="142"/>
      <c r="BH144" s="142"/>
      <c r="BI144" s="142"/>
      <c r="BJ144" s="142"/>
      <c r="BK144" s="142"/>
      <c r="BL144" s="142"/>
      <c r="BM144" s="142"/>
      <c r="BN144" s="142"/>
      <c r="BO144" s="142"/>
      <c r="BP144" s="142"/>
      <c r="BQ144" s="279"/>
      <c r="BR144" s="142"/>
      <c r="BS144" s="142"/>
      <c r="BT144" s="142"/>
      <c r="BU144" s="142"/>
      <c r="BV144" s="142"/>
      <c r="BW144" s="142"/>
      <c r="BX144" s="142"/>
      <c r="BY144" s="142"/>
      <c r="BZ144" s="142"/>
      <c r="CA144" s="142"/>
      <c r="CB144" s="142"/>
      <c r="CC144" s="142"/>
      <c r="CD144" s="279"/>
      <c r="CE144" s="142"/>
      <c r="CF144" s="142"/>
      <c r="CG144" s="142"/>
      <c r="CH144" s="142"/>
      <c r="CI144" s="142"/>
      <c r="CJ144" s="142"/>
      <c r="CK144" s="142"/>
      <c r="CL144" s="142"/>
      <c r="CM144" s="142"/>
      <c r="CN144" s="142"/>
      <c r="CO144" s="142"/>
      <c r="CP144" s="142"/>
      <c r="CQ144" s="142"/>
      <c r="CR144" s="142"/>
      <c r="CS144" s="142"/>
      <c r="CT144" s="142"/>
      <c r="CU144" s="142"/>
      <c r="CV144" s="142"/>
      <c r="CW144" s="142"/>
      <c r="CX144" s="142"/>
      <c r="CY144" s="142"/>
      <c r="CZ144" s="142"/>
      <c r="DA144" s="142"/>
      <c r="DB144" s="142"/>
      <c r="DC144" s="142"/>
      <c r="DD144" s="142"/>
      <c r="DE144" s="142"/>
      <c r="DF144" s="142"/>
      <c r="DG144" s="142"/>
      <c r="DH144" s="142"/>
      <c r="DI144" s="142"/>
      <c r="DJ144" s="142"/>
      <c r="DK144" s="142"/>
      <c r="DL144" s="142"/>
      <c r="DM144" s="142"/>
      <c r="DN144" s="142"/>
      <c r="DO144" s="142"/>
      <c r="DP144" s="142"/>
      <c r="DQ144" s="142"/>
      <c r="DR144" s="142"/>
      <c r="DS144" s="142"/>
      <c r="DT144" s="142"/>
      <c r="DU144" s="142"/>
      <c r="DV144" s="142"/>
      <c r="DW144" s="142"/>
      <c r="DX144" s="142"/>
      <c r="DY144" s="142"/>
      <c r="DZ144" s="142"/>
      <c r="EA144" s="142"/>
      <c r="EB144" s="142"/>
      <c r="EC144" s="142"/>
      <c r="ED144" s="142"/>
      <c r="EE144" s="146"/>
      <c r="EF144" s="146"/>
      <c r="EG144" s="146"/>
      <c r="EH144" s="146"/>
      <c r="EI144" s="146"/>
      <c r="EJ144" s="146"/>
      <c r="EK144" s="146"/>
      <c r="EL144" s="146"/>
      <c r="EM144" s="146"/>
      <c r="EN144" s="146"/>
      <c r="EO144" s="146"/>
      <c r="EP144" s="146"/>
      <c r="EQ144" s="146"/>
      <c r="ER144" s="146"/>
      <c r="ES144" s="146"/>
      <c r="ET144" s="146"/>
      <c r="EU144" s="146"/>
      <c r="EV144" s="146"/>
      <c r="EW144" s="146"/>
      <c r="EX144" s="146"/>
      <c r="EY144" s="146"/>
      <c r="EZ144" s="146"/>
      <c r="FA144" s="146"/>
      <c r="FB144" s="146"/>
      <c r="FC144" s="146"/>
    </row>
    <row r="145" spans="2:159" s="93" customFormat="1">
      <c r="B145" s="125"/>
      <c r="P145" s="92"/>
      <c r="Q145" s="92"/>
      <c r="R145" s="92"/>
      <c r="S145" s="92"/>
      <c r="T145" s="92"/>
      <c r="U145" s="92"/>
      <c r="V145" s="92"/>
      <c r="W145" s="92"/>
      <c r="X145" s="92"/>
      <c r="Y145" s="92"/>
      <c r="Z145" s="92"/>
      <c r="AA145" s="92"/>
      <c r="AB145" s="92"/>
      <c r="AE145" s="125"/>
      <c r="AF145" s="48"/>
      <c r="AG145" s="280"/>
      <c r="AH145" s="121"/>
      <c r="AI145" s="281"/>
      <c r="AJ145" s="144"/>
      <c r="AK145" s="97"/>
      <c r="AL145" s="62"/>
      <c r="AM145" s="62"/>
      <c r="AN145" s="62"/>
      <c r="AO145" s="111"/>
      <c r="AP145" s="111"/>
      <c r="AQ145" s="142"/>
      <c r="AR145" s="279"/>
      <c r="AS145" s="48"/>
      <c r="AT145" s="280"/>
      <c r="AU145" s="44"/>
      <c r="AV145" s="44"/>
      <c r="AW145" s="97"/>
      <c r="AX145" s="62"/>
      <c r="AY145" s="62"/>
      <c r="AZ145" s="62"/>
      <c r="BA145" s="111"/>
      <c r="BB145" s="111"/>
      <c r="BC145" s="111"/>
      <c r="BD145" s="142"/>
      <c r="BE145" s="279"/>
      <c r="BF145" s="142"/>
      <c r="BG145" s="142"/>
      <c r="BH145" s="142"/>
      <c r="BI145" s="142"/>
      <c r="BJ145" s="142"/>
      <c r="BK145" s="142"/>
      <c r="BL145" s="142"/>
      <c r="BM145" s="142"/>
      <c r="BN145" s="142"/>
      <c r="BO145" s="142"/>
      <c r="BP145" s="142"/>
      <c r="BQ145" s="279"/>
      <c r="BR145" s="142"/>
      <c r="BS145" s="142"/>
      <c r="BT145" s="142"/>
      <c r="BU145" s="142"/>
      <c r="BV145" s="142"/>
      <c r="BW145" s="142"/>
      <c r="BX145" s="142"/>
      <c r="BY145" s="142"/>
      <c r="BZ145" s="142"/>
      <c r="CA145" s="142"/>
      <c r="CB145" s="142"/>
      <c r="CC145" s="142"/>
      <c r="CD145" s="279"/>
      <c r="CE145" s="142"/>
      <c r="CF145" s="142"/>
      <c r="CG145" s="142"/>
      <c r="CH145" s="142"/>
      <c r="CI145" s="142"/>
      <c r="CJ145" s="142"/>
      <c r="CK145" s="142"/>
      <c r="CL145" s="142"/>
      <c r="CM145" s="142"/>
      <c r="CN145" s="142"/>
      <c r="CO145" s="142"/>
      <c r="CP145" s="142"/>
      <c r="CQ145" s="142"/>
      <c r="CR145" s="142"/>
      <c r="CS145" s="142"/>
      <c r="CT145" s="142"/>
      <c r="CU145" s="142"/>
      <c r="CV145" s="142"/>
      <c r="CW145" s="142"/>
      <c r="CX145" s="142"/>
      <c r="CY145" s="142"/>
      <c r="CZ145" s="142"/>
      <c r="DA145" s="142"/>
      <c r="DB145" s="142"/>
      <c r="DC145" s="142"/>
      <c r="DD145" s="142"/>
      <c r="DE145" s="142"/>
      <c r="DF145" s="142"/>
      <c r="DG145" s="142"/>
      <c r="DH145" s="142"/>
      <c r="DI145" s="142"/>
      <c r="DJ145" s="142"/>
      <c r="DK145" s="142"/>
      <c r="DL145" s="142"/>
      <c r="DM145" s="142"/>
      <c r="DN145" s="142"/>
      <c r="DO145" s="142"/>
      <c r="DP145" s="142"/>
      <c r="DQ145" s="142"/>
      <c r="DR145" s="142"/>
      <c r="DS145" s="142"/>
      <c r="DT145" s="142"/>
      <c r="DU145" s="142"/>
      <c r="DV145" s="142"/>
      <c r="DW145" s="142"/>
      <c r="DX145" s="142"/>
      <c r="DY145" s="142"/>
      <c r="DZ145" s="142"/>
      <c r="EA145" s="142"/>
      <c r="EB145" s="142"/>
      <c r="EC145" s="142"/>
      <c r="ED145" s="142"/>
      <c r="EE145" s="146"/>
      <c r="EF145" s="146"/>
      <c r="EG145" s="146"/>
      <c r="EH145" s="146"/>
      <c r="EI145" s="146"/>
      <c r="EJ145" s="146"/>
      <c r="EK145" s="146"/>
      <c r="EL145" s="146"/>
      <c r="EM145" s="146"/>
      <c r="EN145" s="146"/>
      <c r="EO145" s="146"/>
      <c r="EP145" s="146"/>
      <c r="EQ145" s="146"/>
      <c r="ER145" s="146"/>
      <c r="ES145" s="146"/>
      <c r="ET145" s="146"/>
      <c r="EU145" s="146"/>
      <c r="EV145" s="146"/>
      <c r="EW145" s="146"/>
      <c r="EX145" s="146"/>
      <c r="EY145" s="146"/>
      <c r="EZ145" s="146"/>
      <c r="FA145" s="146"/>
      <c r="FB145" s="146"/>
      <c r="FC145" s="146"/>
    </row>
    <row r="146" spans="2:159" s="93" customFormat="1">
      <c r="B146" s="125"/>
      <c r="P146" s="92"/>
      <c r="Q146" s="92"/>
      <c r="R146" s="92"/>
      <c r="S146" s="92"/>
      <c r="T146" s="92"/>
      <c r="U146" s="92"/>
      <c r="V146" s="92"/>
      <c r="W146" s="92"/>
      <c r="X146" s="92"/>
      <c r="Y146" s="92"/>
      <c r="Z146" s="92"/>
      <c r="AA146" s="92"/>
      <c r="AB146" s="92"/>
      <c r="AE146" s="125"/>
      <c r="AF146" s="48"/>
      <c r="AG146" s="280"/>
      <c r="AH146" s="121"/>
      <c r="AI146" s="44"/>
      <c r="AJ146" s="144"/>
      <c r="AK146" s="97"/>
      <c r="AL146" s="62"/>
      <c r="AM146" s="62"/>
      <c r="AN146" s="62"/>
      <c r="AO146" s="111"/>
      <c r="AP146" s="111"/>
      <c r="AQ146" s="142"/>
      <c r="AR146" s="279"/>
      <c r="AS146" s="48"/>
      <c r="AT146" s="280"/>
      <c r="AU146" s="44"/>
      <c r="AV146" s="44"/>
      <c r="AW146" s="97"/>
      <c r="AX146" s="62"/>
      <c r="AY146" s="62"/>
      <c r="AZ146" s="62"/>
      <c r="BA146" s="111"/>
      <c r="BB146" s="111"/>
      <c r="BC146" s="111"/>
      <c r="BD146" s="142"/>
      <c r="BE146" s="279"/>
      <c r="BF146" s="142"/>
      <c r="BG146" s="142"/>
      <c r="BH146" s="142"/>
      <c r="BI146" s="142"/>
      <c r="BJ146" s="142"/>
      <c r="BK146" s="142"/>
      <c r="BL146" s="142"/>
      <c r="BM146" s="142"/>
      <c r="BN146" s="142"/>
      <c r="BO146" s="142"/>
      <c r="BP146" s="142"/>
      <c r="BQ146" s="279"/>
      <c r="BR146" s="142"/>
      <c r="BS146" s="142"/>
      <c r="BT146" s="142"/>
      <c r="BU146" s="142"/>
      <c r="BV146" s="142"/>
      <c r="BW146" s="142"/>
      <c r="BX146" s="142"/>
      <c r="BY146" s="142"/>
      <c r="BZ146" s="142"/>
      <c r="CA146" s="142"/>
      <c r="CB146" s="142"/>
      <c r="CC146" s="142"/>
      <c r="CD146" s="279"/>
      <c r="CE146" s="142"/>
      <c r="CF146" s="142"/>
      <c r="CG146" s="142"/>
      <c r="CH146" s="142"/>
      <c r="CI146" s="142"/>
      <c r="CJ146" s="142"/>
      <c r="CK146" s="142"/>
      <c r="CL146" s="142"/>
      <c r="CM146" s="142"/>
      <c r="CN146" s="142"/>
      <c r="CO146" s="142"/>
      <c r="CP146" s="142"/>
      <c r="CQ146" s="142"/>
      <c r="CR146" s="142"/>
      <c r="CS146" s="142"/>
      <c r="CT146" s="142"/>
      <c r="CU146" s="142"/>
      <c r="CV146" s="142"/>
      <c r="CW146" s="142"/>
      <c r="CX146" s="142"/>
      <c r="CY146" s="142"/>
      <c r="CZ146" s="142"/>
      <c r="DA146" s="142"/>
      <c r="DB146" s="142"/>
      <c r="DC146" s="142"/>
      <c r="DD146" s="142"/>
      <c r="DE146" s="142"/>
      <c r="DF146" s="142"/>
      <c r="DG146" s="142"/>
      <c r="DH146" s="142"/>
      <c r="DI146" s="142"/>
      <c r="DJ146" s="142"/>
      <c r="DK146" s="142"/>
      <c r="DL146" s="142"/>
      <c r="DM146" s="142"/>
      <c r="DN146" s="142"/>
      <c r="DO146" s="142"/>
      <c r="DP146" s="142"/>
      <c r="DQ146" s="142"/>
      <c r="DR146" s="142"/>
      <c r="DS146" s="142"/>
      <c r="DT146" s="142"/>
      <c r="DU146" s="142"/>
      <c r="DV146" s="142"/>
      <c r="DW146" s="142"/>
      <c r="DX146" s="142"/>
      <c r="DY146" s="142"/>
      <c r="DZ146" s="142"/>
      <c r="EA146" s="142"/>
      <c r="EB146" s="142"/>
      <c r="EC146" s="142"/>
      <c r="ED146" s="142"/>
      <c r="EE146" s="146"/>
      <c r="EF146" s="146"/>
      <c r="EG146" s="146"/>
      <c r="EH146" s="146"/>
      <c r="EI146" s="146"/>
      <c r="EJ146" s="146"/>
      <c r="EK146" s="146"/>
      <c r="EL146" s="146"/>
      <c r="EM146" s="146"/>
      <c r="EN146" s="146"/>
      <c r="EO146" s="146"/>
      <c r="EP146" s="146"/>
      <c r="EQ146" s="146"/>
      <c r="ER146" s="146"/>
      <c r="ES146" s="146"/>
      <c r="ET146" s="146"/>
      <c r="EU146" s="146"/>
      <c r="EV146" s="146"/>
      <c r="EW146" s="146"/>
      <c r="EX146" s="146"/>
      <c r="EY146" s="146"/>
      <c r="EZ146" s="146"/>
      <c r="FA146" s="146"/>
      <c r="FB146" s="146"/>
      <c r="FC146" s="146"/>
    </row>
    <row r="147" spans="2:159" s="93" customFormat="1">
      <c r="B147" s="125"/>
      <c r="P147" s="92"/>
      <c r="Q147" s="92"/>
      <c r="R147" s="92"/>
      <c r="S147" s="92"/>
      <c r="T147" s="92"/>
      <c r="U147" s="92"/>
      <c r="V147" s="92"/>
      <c r="W147" s="92"/>
      <c r="X147" s="92"/>
      <c r="Y147" s="92"/>
      <c r="Z147" s="92"/>
      <c r="AA147" s="92"/>
      <c r="AB147" s="92"/>
      <c r="AE147" s="125"/>
      <c r="AF147" s="48"/>
      <c r="AG147" s="280"/>
      <c r="AH147" s="126"/>
      <c r="AI147" s="44"/>
      <c r="AJ147" s="144"/>
      <c r="AK147" s="97"/>
      <c r="AL147" s="62"/>
      <c r="AM147" s="62"/>
      <c r="AN147" s="62"/>
      <c r="AO147" s="111"/>
      <c r="AP147" s="111"/>
      <c r="AQ147" s="142"/>
      <c r="AR147" s="279"/>
      <c r="AS147" s="48"/>
      <c r="AT147" s="280"/>
      <c r="AU147" s="281"/>
      <c r="AV147" s="281"/>
      <c r="AW147" s="97"/>
      <c r="AX147" s="62"/>
      <c r="AY147" s="62"/>
      <c r="AZ147" s="62"/>
      <c r="BA147" s="111"/>
      <c r="BB147" s="111"/>
      <c r="BC147" s="111"/>
      <c r="BD147" s="142"/>
      <c r="BE147" s="279"/>
      <c r="BF147" s="142"/>
      <c r="BG147" s="142"/>
      <c r="BH147" s="142"/>
      <c r="BI147" s="142"/>
      <c r="BJ147" s="142"/>
      <c r="BK147" s="142"/>
      <c r="BL147" s="142"/>
      <c r="BM147" s="142"/>
      <c r="BN147" s="142"/>
      <c r="BO147" s="142"/>
      <c r="BP147" s="142"/>
      <c r="BQ147" s="279"/>
      <c r="BR147" s="142"/>
      <c r="BS147" s="142"/>
      <c r="BT147" s="142"/>
      <c r="BU147" s="142"/>
      <c r="BV147" s="142"/>
      <c r="BW147" s="142"/>
      <c r="BX147" s="142"/>
      <c r="BY147" s="142"/>
      <c r="BZ147" s="142"/>
      <c r="CA147" s="142"/>
      <c r="CB147" s="142"/>
      <c r="CC147" s="142"/>
      <c r="CD147" s="279"/>
      <c r="CE147" s="142"/>
      <c r="CF147" s="142"/>
      <c r="CG147" s="142"/>
      <c r="CH147" s="142"/>
      <c r="CI147" s="142"/>
      <c r="CJ147" s="142"/>
      <c r="CK147" s="142"/>
      <c r="CL147" s="142"/>
      <c r="CM147" s="142"/>
      <c r="CN147" s="142"/>
      <c r="CO147" s="142"/>
      <c r="CP147" s="142"/>
      <c r="CQ147" s="142"/>
      <c r="CR147" s="142"/>
      <c r="CS147" s="142"/>
      <c r="CT147" s="142"/>
      <c r="CU147" s="142"/>
      <c r="CV147" s="142"/>
      <c r="CW147" s="142"/>
      <c r="CX147" s="142"/>
      <c r="CY147" s="142"/>
      <c r="CZ147" s="142"/>
      <c r="DA147" s="142"/>
      <c r="DB147" s="142"/>
      <c r="DC147" s="142"/>
      <c r="DD147" s="142"/>
      <c r="DE147" s="142"/>
      <c r="DF147" s="142"/>
      <c r="DG147" s="142"/>
      <c r="DH147" s="142"/>
      <c r="DI147" s="142"/>
      <c r="DJ147" s="142"/>
      <c r="DK147" s="142"/>
      <c r="DL147" s="142"/>
      <c r="DM147" s="142"/>
      <c r="DN147" s="142"/>
      <c r="DO147" s="142"/>
      <c r="DP147" s="142"/>
      <c r="DQ147" s="142"/>
      <c r="DR147" s="142"/>
      <c r="DS147" s="142"/>
      <c r="DT147" s="142"/>
      <c r="DU147" s="142"/>
      <c r="DV147" s="142"/>
      <c r="DW147" s="142"/>
      <c r="DX147" s="142"/>
      <c r="DY147" s="142"/>
      <c r="DZ147" s="142"/>
      <c r="EA147" s="142"/>
      <c r="EB147" s="142"/>
      <c r="EC147" s="142"/>
      <c r="ED147" s="142"/>
      <c r="EE147" s="146"/>
      <c r="EF147" s="146"/>
      <c r="EG147" s="146"/>
      <c r="EH147" s="146"/>
      <c r="EI147" s="146"/>
      <c r="EJ147" s="146"/>
      <c r="EK147" s="146"/>
      <c r="EL147" s="146"/>
      <c r="EM147" s="146"/>
      <c r="EN147" s="146"/>
      <c r="EO147" s="146"/>
      <c r="EP147" s="146"/>
      <c r="EQ147" s="146"/>
      <c r="ER147" s="146"/>
      <c r="ES147" s="146"/>
      <c r="ET147" s="146"/>
      <c r="EU147" s="146"/>
      <c r="EV147" s="146"/>
      <c r="EW147" s="146"/>
      <c r="EX147" s="146"/>
      <c r="EY147" s="146"/>
      <c r="EZ147" s="146"/>
      <c r="FA147" s="146"/>
      <c r="FB147" s="146"/>
      <c r="FC147" s="142"/>
    </row>
    <row r="148" spans="2:159" s="93" customFormat="1">
      <c r="B148" s="125"/>
      <c r="P148" s="92"/>
      <c r="Q148" s="92"/>
      <c r="R148" s="92"/>
      <c r="S148" s="92"/>
      <c r="T148" s="92"/>
      <c r="U148" s="92"/>
      <c r="V148" s="92"/>
      <c r="W148" s="92"/>
      <c r="X148" s="92"/>
      <c r="Y148" s="92"/>
      <c r="Z148" s="92"/>
      <c r="AA148" s="92"/>
      <c r="AB148" s="92"/>
      <c r="AE148" s="125"/>
      <c r="AF148" s="48"/>
      <c r="AG148" s="280"/>
      <c r="AH148" s="121"/>
      <c r="AI148" s="281"/>
      <c r="AJ148" s="144"/>
      <c r="AK148" s="97"/>
      <c r="AL148" s="62"/>
      <c r="AM148" s="62"/>
      <c r="AN148" s="62"/>
      <c r="AO148" s="111"/>
      <c r="AP148" s="111"/>
      <c r="AQ148" s="142"/>
      <c r="AR148" s="279"/>
      <c r="AS148" s="48"/>
      <c r="AT148" s="280"/>
      <c r="AU148" s="44"/>
      <c r="AV148" s="44"/>
      <c r="AW148" s="97"/>
      <c r="AX148" s="62"/>
      <c r="AY148" s="62"/>
      <c r="AZ148" s="62"/>
      <c r="BA148" s="111"/>
      <c r="BB148" s="111"/>
      <c r="BC148" s="111"/>
      <c r="BD148" s="142"/>
      <c r="BE148" s="279"/>
      <c r="BF148" s="142"/>
      <c r="BG148" s="142"/>
      <c r="BH148" s="142"/>
      <c r="BI148" s="142"/>
      <c r="BJ148" s="142"/>
      <c r="BK148" s="142"/>
      <c r="BL148" s="142"/>
      <c r="BM148" s="142"/>
      <c r="BN148" s="142"/>
      <c r="BO148" s="142"/>
      <c r="BP148" s="142"/>
      <c r="BQ148" s="279"/>
      <c r="BR148" s="142"/>
      <c r="BS148" s="142"/>
      <c r="BT148" s="142"/>
      <c r="BU148" s="142"/>
      <c r="BV148" s="142"/>
      <c r="BW148" s="142"/>
      <c r="BX148" s="142"/>
      <c r="BY148" s="142"/>
      <c r="BZ148" s="142"/>
      <c r="CA148" s="142"/>
      <c r="CB148" s="142"/>
      <c r="CC148" s="142"/>
      <c r="CD148" s="279"/>
      <c r="CE148" s="142"/>
      <c r="CF148" s="142"/>
      <c r="CG148" s="142"/>
      <c r="CH148" s="142"/>
      <c r="CI148" s="142"/>
      <c r="CJ148" s="142"/>
      <c r="CK148" s="142"/>
      <c r="CL148" s="142"/>
      <c r="CM148" s="142"/>
      <c r="CN148" s="142"/>
      <c r="CO148" s="142"/>
      <c r="CP148" s="142"/>
      <c r="CQ148" s="142"/>
      <c r="CR148" s="142"/>
      <c r="CS148" s="142"/>
      <c r="CT148" s="142"/>
      <c r="CU148" s="142"/>
      <c r="CV148" s="142"/>
      <c r="CW148" s="142"/>
      <c r="CX148" s="142"/>
      <c r="CY148" s="142"/>
      <c r="CZ148" s="142"/>
      <c r="DA148" s="142"/>
      <c r="DB148" s="142"/>
      <c r="DC148" s="142"/>
      <c r="DD148" s="142"/>
      <c r="DE148" s="142"/>
      <c r="DF148" s="142"/>
      <c r="DG148" s="142"/>
      <c r="DH148" s="142"/>
      <c r="DI148" s="142"/>
      <c r="DJ148" s="142"/>
      <c r="DK148" s="142"/>
      <c r="DL148" s="142"/>
      <c r="DM148" s="142"/>
      <c r="DN148" s="142"/>
      <c r="DO148" s="142"/>
      <c r="DP148" s="142"/>
      <c r="DQ148" s="142"/>
      <c r="DR148" s="142"/>
      <c r="DS148" s="142"/>
      <c r="DT148" s="142"/>
      <c r="DU148" s="142"/>
      <c r="DV148" s="142"/>
      <c r="DW148" s="142"/>
      <c r="DX148" s="142"/>
      <c r="DY148" s="142"/>
      <c r="DZ148" s="142"/>
      <c r="EA148" s="142"/>
      <c r="EB148" s="142"/>
      <c r="EC148" s="142"/>
      <c r="ED148" s="142"/>
      <c r="EE148" s="146"/>
      <c r="EF148" s="146"/>
      <c r="EG148" s="146"/>
      <c r="EH148" s="146"/>
      <c r="EI148" s="146"/>
      <c r="EJ148" s="146"/>
      <c r="EK148" s="146"/>
      <c r="EL148" s="146"/>
      <c r="EM148" s="146"/>
      <c r="EN148" s="146"/>
      <c r="EO148" s="146"/>
      <c r="EP148" s="146"/>
      <c r="EQ148" s="146"/>
      <c r="ER148" s="146"/>
      <c r="ES148" s="146"/>
      <c r="ET148" s="146"/>
      <c r="EU148" s="146"/>
      <c r="EV148" s="146"/>
      <c r="EW148" s="146"/>
      <c r="EX148" s="146"/>
      <c r="EY148" s="146"/>
      <c r="EZ148" s="146"/>
      <c r="FA148" s="146"/>
      <c r="FB148" s="146"/>
      <c r="FC148" s="146"/>
    </row>
    <row r="149" spans="2:159" s="93" customFormat="1">
      <c r="B149" s="125"/>
      <c r="P149" s="92"/>
      <c r="Q149" s="92"/>
      <c r="R149" s="92"/>
      <c r="S149" s="92"/>
      <c r="T149" s="92"/>
      <c r="U149" s="92"/>
      <c r="V149" s="92"/>
      <c r="W149" s="92"/>
      <c r="X149" s="92"/>
      <c r="Y149" s="92"/>
      <c r="Z149" s="92"/>
      <c r="AA149" s="92"/>
      <c r="AB149" s="92"/>
      <c r="AE149" s="125"/>
      <c r="AF149" s="48"/>
      <c r="AG149" s="280"/>
      <c r="AH149" s="121"/>
      <c r="AI149" s="44"/>
      <c r="AJ149" s="144"/>
      <c r="AK149" s="97"/>
      <c r="AL149" s="62"/>
      <c r="AM149" s="62"/>
      <c r="AN149" s="62"/>
      <c r="AO149" s="111"/>
      <c r="AP149" s="111"/>
      <c r="AQ149" s="142"/>
      <c r="AR149" s="279"/>
      <c r="AS149" s="48"/>
      <c r="AT149" s="280"/>
      <c r="AU149" s="44"/>
      <c r="AV149" s="44"/>
      <c r="AW149" s="97"/>
      <c r="AX149" s="62"/>
      <c r="AY149" s="62"/>
      <c r="AZ149" s="62"/>
      <c r="BA149" s="111"/>
      <c r="BB149" s="111"/>
      <c r="BC149" s="111"/>
      <c r="BD149" s="142"/>
      <c r="BE149" s="279"/>
      <c r="BF149" s="142"/>
      <c r="BG149" s="142"/>
      <c r="BH149" s="142"/>
      <c r="BI149" s="142"/>
      <c r="BJ149" s="142"/>
      <c r="BK149" s="142"/>
      <c r="BL149" s="142"/>
      <c r="BM149" s="142"/>
      <c r="BN149" s="142"/>
      <c r="BO149" s="142"/>
      <c r="BP149" s="142"/>
      <c r="BQ149" s="279"/>
      <c r="BR149" s="142"/>
      <c r="BS149" s="142"/>
      <c r="BT149" s="142"/>
      <c r="BU149" s="142"/>
      <c r="BV149" s="142"/>
      <c r="BW149" s="142"/>
      <c r="BX149" s="142"/>
      <c r="BY149" s="142"/>
      <c r="BZ149" s="142"/>
      <c r="CA149" s="142"/>
      <c r="CB149" s="142"/>
      <c r="CC149" s="142"/>
      <c r="CD149" s="279"/>
      <c r="CE149" s="142"/>
      <c r="CF149" s="142"/>
      <c r="CG149" s="142"/>
      <c r="CH149" s="142"/>
      <c r="CI149" s="142"/>
      <c r="CJ149" s="142"/>
      <c r="CK149" s="142"/>
      <c r="CL149" s="142"/>
      <c r="CM149" s="142"/>
      <c r="CN149" s="142"/>
      <c r="CO149" s="142"/>
      <c r="CP149" s="142"/>
      <c r="CQ149" s="142"/>
      <c r="CR149" s="142"/>
      <c r="CS149" s="142"/>
      <c r="CT149" s="142"/>
      <c r="CU149" s="142"/>
      <c r="CV149" s="142"/>
      <c r="CW149" s="142"/>
      <c r="CX149" s="142"/>
      <c r="CY149" s="142"/>
      <c r="CZ149" s="142"/>
      <c r="DA149" s="142"/>
      <c r="DB149" s="142"/>
      <c r="DC149" s="142"/>
      <c r="DD149" s="142"/>
      <c r="DE149" s="142"/>
      <c r="DF149" s="142"/>
      <c r="DG149" s="142"/>
      <c r="DH149" s="142"/>
      <c r="DI149" s="142"/>
      <c r="DJ149" s="142"/>
      <c r="DK149" s="142"/>
      <c r="DL149" s="142"/>
      <c r="DM149" s="142"/>
      <c r="DN149" s="142"/>
      <c r="DO149" s="142"/>
      <c r="DP149" s="142"/>
      <c r="DQ149" s="142"/>
      <c r="DR149" s="142"/>
      <c r="DS149" s="142"/>
      <c r="DT149" s="142"/>
      <c r="DU149" s="142"/>
      <c r="DV149" s="142"/>
      <c r="DW149" s="142"/>
      <c r="DX149" s="142"/>
      <c r="DY149" s="142"/>
      <c r="DZ149" s="142"/>
      <c r="EA149" s="142"/>
      <c r="EB149" s="142"/>
      <c r="EC149" s="142"/>
      <c r="ED149" s="142"/>
      <c r="EE149" s="146"/>
      <c r="EF149" s="146"/>
      <c r="EG149" s="146"/>
      <c r="EH149" s="146"/>
      <c r="EI149" s="146"/>
      <c r="EJ149" s="146"/>
      <c r="EK149" s="146"/>
      <c r="EL149" s="146"/>
      <c r="EM149" s="146"/>
      <c r="EN149" s="146"/>
      <c r="EO149" s="146"/>
      <c r="EP149" s="146"/>
      <c r="EQ149" s="146"/>
      <c r="ER149" s="146"/>
      <c r="ES149" s="146"/>
      <c r="ET149" s="146"/>
      <c r="EU149" s="146"/>
      <c r="EV149" s="146"/>
      <c r="EW149" s="146"/>
      <c r="EX149" s="146"/>
      <c r="EY149" s="146"/>
      <c r="EZ149" s="146"/>
      <c r="FA149" s="146"/>
      <c r="FB149" s="146"/>
      <c r="FC149" s="71"/>
    </row>
    <row r="150" spans="2:159" s="93" customFormat="1">
      <c r="B150" s="125"/>
      <c r="P150" s="92"/>
      <c r="Q150" s="92"/>
      <c r="R150" s="92"/>
      <c r="S150" s="92"/>
      <c r="T150" s="92"/>
      <c r="U150" s="92"/>
      <c r="V150" s="92"/>
      <c r="W150" s="92"/>
      <c r="X150" s="92"/>
      <c r="Y150" s="92"/>
      <c r="Z150" s="92"/>
      <c r="AA150" s="92"/>
      <c r="AB150" s="92"/>
      <c r="AE150" s="125"/>
      <c r="AF150" s="48"/>
      <c r="AG150" s="280"/>
      <c r="AH150" s="126"/>
      <c r="AI150" s="44"/>
      <c r="AJ150" s="144"/>
      <c r="AK150" s="97"/>
      <c r="AL150" s="62"/>
      <c r="AM150" s="62"/>
      <c r="AN150" s="62"/>
      <c r="AO150" s="111"/>
      <c r="AP150" s="111"/>
      <c r="AQ150" s="142"/>
      <c r="AR150" s="279"/>
      <c r="AS150" s="48"/>
      <c r="AT150" s="280"/>
      <c r="AU150" s="281"/>
      <c r="AV150" s="281"/>
      <c r="AW150" s="97"/>
      <c r="AX150" s="62"/>
      <c r="AY150" s="62"/>
      <c r="AZ150" s="62"/>
      <c r="BA150" s="111"/>
      <c r="BB150" s="111"/>
      <c r="BC150" s="111"/>
      <c r="BD150" s="142"/>
      <c r="BE150" s="279"/>
      <c r="BF150" s="142"/>
      <c r="BG150" s="142"/>
      <c r="BH150" s="142"/>
      <c r="BI150" s="142"/>
      <c r="BJ150" s="142"/>
      <c r="BK150" s="142"/>
      <c r="BL150" s="142"/>
      <c r="BM150" s="142"/>
      <c r="BN150" s="142"/>
      <c r="BO150" s="142"/>
      <c r="BP150" s="142"/>
      <c r="BQ150" s="279"/>
      <c r="BR150" s="142"/>
      <c r="BS150" s="142"/>
      <c r="BT150" s="142"/>
      <c r="BU150" s="142"/>
      <c r="BV150" s="142"/>
      <c r="BW150" s="142"/>
      <c r="BX150" s="142"/>
      <c r="BY150" s="142"/>
      <c r="BZ150" s="142"/>
      <c r="CA150" s="142"/>
      <c r="CB150" s="142"/>
      <c r="CC150" s="142"/>
      <c r="CD150" s="279"/>
      <c r="CE150" s="142"/>
      <c r="CF150" s="142"/>
      <c r="CG150" s="142"/>
      <c r="CH150" s="142"/>
      <c r="CI150" s="142"/>
      <c r="CJ150" s="142"/>
      <c r="CK150" s="142"/>
      <c r="CL150" s="142"/>
      <c r="CM150" s="142"/>
      <c r="CN150" s="142"/>
      <c r="CO150" s="142"/>
      <c r="CP150" s="142"/>
      <c r="CQ150" s="142"/>
      <c r="CR150" s="142"/>
      <c r="CS150" s="142"/>
      <c r="CT150" s="142"/>
      <c r="CU150" s="142"/>
      <c r="CV150" s="142"/>
      <c r="CW150" s="142"/>
      <c r="CX150" s="142"/>
      <c r="CY150" s="142"/>
      <c r="CZ150" s="142"/>
      <c r="DA150" s="142"/>
      <c r="DB150" s="142"/>
      <c r="DC150" s="142"/>
      <c r="DD150" s="142"/>
      <c r="DE150" s="142"/>
      <c r="DF150" s="142"/>
      <c r="DG150" s="142"/>
      <c r="DH150" s="142"/>
      <c r="DI150" s="142"/>
      <c r="DJ150" s="142"/>
      <c r="DK150" s="142"/>
      <c r="DL150" s="142"/>
      <c r="DM150" s="142"/>
      <c r="DN150" s="142"/>
      <c r="DO150" s="142"/>
      <c r="DP150" s="142"/>
      <c r="DQ150" s="142"/>
      <c r="DR150" s="142"/>
      <c r="DS150" s="142"/>
      <c r="DT150" s="142"/>
      <c r="DU150" s="142"/>
      <c r="DV150" s="142"/>
      <c r="DW150" s="142"/>
      <c r="DX150" s="142"/>
      <c r="DY150" s="142"/>
      <c r="DZ150" s="142"/>
      <c r="EA150" s="142"/>
      <c r="EB150" s="142"/>
      <c r="EC150" s="142"/>
      <c r="ED150" s="142"/>
      <c r="EE150" s="146"/>
      <c r="EF150" s="146"/>
      <c r="EG150" s="146"/>
      <c r="EH150" s="146"/>
      <c r="EI150" s="146"/>
      <c r="EJ150" s="146"/>
      <c r="EK150" s="146"/>
      <c r="EL150" s="146"/>
      <c r="EM150" s="146"/>
      <c r="EN150" s="146"/>
      <c r="EO150" s="146"/>
      <c r="EP150" s="146"/>
      <c r="EQ150" s="146"/>
      <c r="ER150" s="146"/>
      <c r="ES150" s="146"/>
      <c r="ET150" s="146"/>
      <c r="EU150" s="146"/>
      <c r="EV150" s="146"/>
      <c r="EW150" s="146"/>
      <c r="EX150" s="146"/>
      <c r="EY150" s="146"/>
      <c r="EZ150" s="146"/>
      <c r="FA150" s="146"/>
      <c r="FB150" s="146"/>
      <c r="FC150" s="71"/>
    </row>
    <row r="151" spans="2:159" s="93" customFormat="1">
      <c r="B151" s="125"/>
      <c r="AE151" s="125"/>
      <c r="AF151" s="48"/>
      <c r="AG151" s="280"/>
      <c r="AH151" s="126"/>
      <c r="AI151" s="281"/>
      <c r="AJ151" s="144"/>
      <c r="AK151" s="97"/>
      <c r="AL151" s="62"/>
      <c r="AM151" s="62"/>
      <c r="AN151" s="62"/>
      <c r="AO151" s="111"/>
      <c r="AP151" s="111"/>
      <c r="AQ151" s="142"/>
      <c r="AR151" s="279"/>
      <c r="AS151" s="48"/>
      <c r="AT151" s="280"/>
      <c r="AU151" s="44"/>
      <c r="AV151" s="44"/>
      <c r="AW151" s="97"/>
      <c r="AX151" s="62"/>
      <c r="AY151" s="62"/>
      <c r="AZ151" s="62"/>
      <c r="BA151" s="111"/>
      <c r="BB151" s="111"/>
      <c r="BC151" s="111"/>
      <c r="BD151" s="142"/>
      <c r="BE151" s="279"/>
      <c r="BF151" s="142"/>
      <c r="BG151" s="142"/>
      <c r="BH151" s="142"/>
      <c r="BI151" s="142"/>
      <c r="BJ151" s="142"/>
      <c r="BK151" s="142"/>
      <c r="BL151" s="142"/>
      <c r="BM151" s="142"/>
      <c r="BN151" s="142"/>
      <c r="BO151" s="142"/>
      <c r="BP151" s="142"/>
      <c r="BQ151" s="279"/>
      <c r="BR151" s="142"/>
      <c r="BS151" s="142"/>
      <c r="BT151" s="142"/>
      <c r="BU151" s="142"/>
      <c r="BV151" s="142"/>
      <c r="BW151" s="142"/>
      <c r="BX151" s="142"/>
      <c r="BY151" s="142"/>
      <c r="BZ151" s="142"/>
      <c r="CA151" s="142"/>
      <c r="CB151" s="142"/>
      <c r="CC151" s="142"/>
      <c r="CD151" s="279"/>
      <c r="CE151" s="142"/>
      <c r="CF151" s="142"/>
      <c r="CG151" s="142"/>
      <c r="CH151" s="142"/>
      <c r="CI151" s="142"/>
      <c r="CJ151" s="142"/>
      <c r="CK151" s="142"/>
      <c r="CL151" s="142"/>
      <c r="CM151" s="142"/>
      <c r="CN151" s="142"/>
      <c r="CO151" s="142"/>
      <c r="CP151" s="142"/>
      <c r="CQ151" s="142"/>
      <c r="CR151" s="142"/>
      <c r="CS151" s="142"/>
      <c r="CT151" s="142"/>
      <c r="CU151" s="142"/>
      <c r="CV151" s="142"/>
      <c r="CW151" s="142"/>
      <c r="CX151" s="142"/>
      <c r="CY151" s="142"/>
      <c r="CZ151" s="142"/>
      <c r="DA151" s="142"/>
      <c r="DB151" s="142"/>
      <c r="DC151" s="142"/>
      <c r="DD151" s="142"/>
      <c r="DE151" s="142"/>
      <c r="DF151" s="142"/>
      <c r="DG151" s="142"/>
      <c r="DH151" s="142"/>
      <c r="DI151" s="142"/>
      <c r="DJ151" s="142"/>
      <c r="DK151" s="142"/>
      <c r="DL151" s="142"/>
      <c r="DM151" s="142"/>
      <c r="DN151" s="142"/>
      <c r="DO151" s="142"/>
      <c r="DP151" s="142"/>
      <c r="DQ151" s="142"/>
      <c r="DR151" s="142"/>
      <c r="DS151" s="142"/>
      <c r="DT151" s="142"/>
      <c r="DU151" s="142"/>
      <c r="DV151" s="142"/>
      <c r="DW151" s="142"/>
      <c r="DX151" s="142"/>
      <c r="DY151" s="142"/>
      <c r="DZ151" s="142"/>
      <c r="EA151" s="142"/>
      <c r="EB151" s="142"/>
      <c r="EC151" s="142"/>
      <c r="ED151" s="142"/>
      <c r="EE151" s="146"/>
      <c r="EF151" s="146"/>
      <c r="EG151" s="146"/>
      <c r="EH151" s="146"/>
      <c r="EI151" s="146"/>
      <c r="EJ151" s="146"/>
      <c r="EK151" s="146"/>
      <c r="EL151" s="146"/>
      <c r="EM151" s="146"/>
      <c r="EN151" s="146"/>
      <c r="EO151" s="146"/>
      <c r="EP151" s="146"/>
      <c r="EQ151" s="146"/>
      <c r="ER151" s="146"/>
      <c r="ES151" s="146"/>
      <c r="ET151" s="146"/>
      <c r="EU151" s="146"/>
      <c r="EV151" s="146"/>
      <c r="EW151" s="146"/>
      <c r="EX151" s="146"/>
      <c r="EY151" s="146"/>
      <c r="EZ151" s="146"/>
      <c r="FA151" s="146"/>
      <c r="FB151" s="146"/>
      <c r="FC151" s="71"/>
    </row>
    <row r="152" spans="2:159" s="93" customFormat="1">
      <c r="B152" s="125"/>
      <c r="AE152" s="125"/>
      <c r="AF152" s="48"/>
      <c r="AG152" s="280"/>
      <c r="AH152" s="126"/>
      <c r="AI152" s="44"/>
      <c r="AJ152" s="144"/>
      <c r="AK152" s="97"/>
      <c r="AL152" s="62"/>
      <c r="AM152" s="62"/>
      <c r="AN152" s="62"/>
      <c r="AO152" s="111"/>
      <c r="AP152" s="111"/>
      <c r="AQ152" s="142"/>
      <c r="AR152" s="279"/>
      <c r="AS152" s="48"/>
      <c r="AT152" s="280"/>
      <c r="AU152" s="44"/>
      <c r="AV152" s="44"/>
      <c r="AW152" s="97"/>
      <c r="AX152" s="62"/>
      <c r="AY152" s="62"/>
      <c r="AZ152" s="62"/>
      <c r="BA152" s="111"/>
      <c r="BB152" s="111"/>
      <c r="BC152" s="111"/>
      <c r="BD152" s="142"/>
      <c r="BE152" s="279"/>
      <c r="BF152" s="142"/>
      <c r="BG152" s="142"/>
      <c r="BH152" s="142"/>
      <c r="BI152" s="142"/>
      <c r="BJ152" s="142"/>
      <c r="BK152" s="142"/>
      <c r="BL152" s="142"/>
      <c r="BM152" s="142"/>
      <c r="BN152" s="142"/>
      <c r="BO152" s="142"/>
      <c r="BP152" s="142"/>
      <c r="BQ152" s="279"/>
      <c r="BR152" s="142"/>
      <c r="BS152" s="142"/>
      <c r="BT152" s="142"/>
      <c r="BU152" s="142"/>
      <c r="BV152" s="142"/>
      <c r="BW152" s="142"/>
      <c r="BX152" s="142"/>
      <c r="BY152" s="142"/>
      <c r="BZ152" s="142"/>
      <c r="CA152" s="142"/>
      <c r="CB152" s="142"/>
      <c r="CC152" s="142"/>
      <c r="CD152" s="279"/>
      <c r="CE152" s="142"/>
      <c r="CF152" s="142"/>
      <c r="CG152" s="142"/>
      <c r="CH152" s="142"/>
      <c r="CI152" s="142"/>
      <c r="CJ152" s="142"/>
      <c r="CK152" s="142"/>
      <c r="CL152" s="142"/>
      <c r="CM152" s="142"/>
      <c r="CN152" s="142"/>
      <c r="CO152" s="142"/>
      <c r="CP152" s="142"/>
      <c r="CQ152" s="142"/>
      <c r="CR152" s="142"/>
      <c r="CS152" s="142"/>
      <c r="CT152" s="142"/>
      <c r="CU152" s="142"/>
      <c r="CV152" s="142"/>
      <c r="CW152" s="142"/>
      <c r="CX152" s="142"/>
      <c r="CY152" s="142"/>
      <c r="CZ152" s="142"/>
      <c r="DA152" s="142"/>
      <c r="DB152" s="142"/>
      <c r="DC152" s="142"/>
      <c r="DD152" s="142"/>
      <c r="DE152" s="142"/>
      <c r="DF152" s="142"/>
      <c r="DG152" s="142"/>
      <c r="DH152" s="142"/>
      <c r="DI152" s="142"/>
      <c r="DJ152" s="142"/>
      <c r="DK152" s="142"/>
      <c r="DL152" s="142"/>
      <c r="DM152" s="142"/>
      <c r="DN152" s="142"/>
      <c r="DO152" s="142"/>
      <c r="DP152" s="142"/>
      <c r="DQ152" s="142"/>
      <c r="DR152" s="142"/>
      <c r="DS152" s="142"/>
      <c r="DT152" s="142"/>
      <c r="DU152" s="142"/>
      <c r="DV152" s="142"/>
      <c r="DW152" s="142"/>
      <c r="DX152" s="142"/>
      <c r="DY152" s="142"/>
      <c r="DZ152" s="142"/>
      <c r="EA152" s="142"/>
      <c r="EB152" s="142"/>
      <c r="EC152" s="142"/>
      <c r="ED152" s="142"/>
      <c r="EE152" s="146"/>
      <c r="EF152" s="146"/>
      <c r="EG152" s="146"/>
      <c r="EH152" s="146"/>
      <c r="EI152" s="146"/>
      <c r="EJ152" s="146"/>
      <c r="EK152" s="146"/>
      <c r="EL152" s="146"/>
      <c r="EM152" s="146"/>
      <c r="EN152" s="146"/>
      <c r="EO152" s="146"/>
      <c r="EP152" s="146"/>
      <c r="EQ152" s="146"/>
      <c r="ER152" s="146"/>
      <c r="ES152" s="146"/>
      <c r="ET152" s="146"/>
      <c r="EU152" s="146"/>
      <c r="EV152" s="146"/>
      <c r="EW152" s="146"/>
      <c r="EX152" s="146"/>
      <c r="EY152" s="146"/>
      <c r="EZ152" s="146"/>
      <c r="FA152" s="146"/>
      <c r="FB152" s="146"/>
      <c r="FC152" s="71"/>
    </row>
    <row r="153" spans="2:159" s="93" customFormat="1">
      <c r="B153" s="125"/>
      <c r="AE153" s="125"/>
      <c r="AF153" s="48"/>
      <c r="AG153" s="280"/>
      <c r="AH153" s="126"/>
      <c r="AI153" s="44"/>
      <c r="AJ153" s="144"/>
      <c r="AK153" s="97"/>
      <c r="AL153" s="62"/>
      <c r="AM153" s="62"/>
      <c r="AN153" s="62"/>
      <c r="AO153" s="111"/>
      <c r="AP153" s="111"/>
      <c r="AQ153" s="142"/>
      <c r="AR153" s="279"/>
      <c r="AS153" s="48"/>
      <c r="AT153" s="280"/>
      <c r="AU153" s="281"/>
      <c r="AV153" s="281"/>
      <c r="AW153" s="97"/>
      <c r="AX153" s="62"/>
      <c r="AY153" s="62"/>
      <c r="AZ153" s="62"/>
      <c r="BA153" s="111"/>
      <c r="BB153" s="111"/>
      <c r="BC153" s="111"/>
      <c r="BD153" s="142"/>
      <c r="BE153" s="279"/>
      <c r="BF153" s="142"/>
      <c r="BG153" s="142"/>
      <c r="BH153" s="142"/>
      <c r="BI153" s="142"/>
      <c r="BJ153" s="142"/>
      <c r="BK153" s="142"/>
      <c r="BL153" s="142"/>
      <c r="BM153" s="142"/>
      <c r="BN153" s="142"/>
      <c r="BO153" s="142"/>
      <c r="BP153" s="142"/>
      <c r="BQ153" s="279"/>
      <c r="BR153" s="142"/>
      <c r="BS153" s="142"/>
      <c r="BT153" s="142"/>
      <c r="BU153" s="142"/>
      <c r="BV153" s="142"/>
      <c r="BW153" s="142"/>
      <c r="BX153" s="142"/>
      <c r="BY153" s="142"/>
      <c r="BZ153" s="142"/>
      <c r="CA153" s="142"/>
      <c r="CB153" s="142"/>
      <c r="CC153" s="142"/>
      <c r="CD153" s="279"/>
      <c r="CE153" s="142"/>
      <c r="CF153" s="142"/>
      <c r="CG153" s="142"/>
      <c r="CH153" s="142"/>
      <c r="CI153" s="142"/>
      <c r="CJ153" s="142"/>
      <c r="CK153" s="142"/>
      <c r="CL153" s="142"/>
      <c r="CM153" s="142"/>
      <c r="CN153" s="142"/>
      <c r="CO153" s="142"/>
      <c r="CP153" s="142"/>
      <c r="CQ153" s="142"/>
      <c r="CR153" s="142"/>
      <c r="CS153" s="142"/>
      <c r="CT153" s="142"/>
      <c r="CU153" s="142"/>
      <c r="CV153" s="142"/>
      <c r="CW153" s="142"/>
      <c r="CX153" s="142"/>
      <c r="CY153" s="142"/>
      <c r="CZ153" s="142"/>
      <c r="DA153" s="142"/>
      <c r="DB153" s="142"/>
      <c r="DC153" s="142"/>
      <c r="DD153" s="142"/>
      <c r="DE153" s="142"/>
      <c r="DF153" s="142"/>
      <c r="DG153" s="142"/>
      <c r="DH153" s="142"/>
      <c r="DI153" s="142"/>
      <c r="DJ153" s="142"/>
      <c r="DK153" s="142"/>
      <c r="DL153" s="142"/>
      <c r="DM153" s="142"/>
      <c r="DN153" s="142"/>
      <c r="DO153" s="142"/>
      <c r="DP153" s="142"/>
      <c r="DQ153" s="142"/>
      <c r="DR153" s="142"/>
      <c r="DS153" s="142"/>
      <c r="DT153" s="142"/>
      <c r="DU153" s="142"/>
      <c r="DV153" s="142"/>
      <c r="DW153" s="142"/>
      <c r="DX153" s="142"/>
      <c r="DY153" s="142"/>
      <c r="DZ153" s="142"/>
      <c r="EA153" s="142"/>
      <c r="EB153" s="142"/>
      <c r="EC153" s="142"/>
      <c r="ED153" s="142"/>
      <c r="EE153" s="146"/>
      <c r="EF153" s="146"/>
      <c r="EG153" s="146"/>
      <c r="EH153" s="146"/>
      <c r="EI153" s="146"/>
      <c r="EJ153" s="146"/>
      <c r="EK153" s="146"/>
      <c r="EL153" s="146"/>
      <c r="EM153" s="146"/>
      <c r="EN153" s="146"/>
      <c r="EO153" s="146"/>
      <c r="EP153" s="146"/>
      <c r="EQ153" s="146"/>
      <c r="ER153" s="146"/>
      <c r="ES153" s="146"/>
      <c r="ET153" s="146"/>
      <c r="EU153" s="146"/>
      <c r="EV153" s="146"/>
      <c r="EW153" s="146"/>
      <c r="EX153" s="146"/>
      <c r="EY153" s="146"/>
      <c r="EZ153" s="146"/>
      <c r="FA153" s="146"/>
      <c r="FB153" s="146"/>
      <c r="FC153" s="71"/>
    </row>
    <row r="154" spans="2:159" s="93" customFormat="1">
      <c r="AF154" s="48"/>
      <c r="AG154" s="280"/>
      <c r="AH154" s="126"/>
      <c r="AI154" s="281"/>
      <c r="AJ154" s="144"/>
      <c r="AK154" s="97"/>
      <c r="AL154" s="62"/>
      <c r="AM154" s="62"/>
      <c r="AN154" s="62"/>
      <c r="AO154" s="111"/>
      <c r="AP154" s="111"/>
      <c r="AQ154" s="142"/>
      <c r="AR154" s="142"/>
      <c r="AS154" s="48"/>
      <c r="AT154" s="280"/>
      <c r="AU154" s="44"/>
      <c r="AV154" s="44"/>
      <c r="AW154" s="97"/>
      <c r="AX154" s="62"/>
      <c r="AY154" s="62"/>
      <c r="AZ154" s="62"/>
      <c r="BA154" s="111"/>
      <c r="BB154" s="111"/>
      <c r="BC154" s="111"/>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c r="CN154" s="142"/>
      <c r="CO154" s="142"/>
      <c r="CP154" s="142"/>
      <c r="CQ154" s="142"/>
      <c r="CR154" s="142"/>
      <c r="CS154" s="142"/>
      <c r="CT154" s="142"/>
      <c r="CU154" s="142"/>
      <c r="CV154" s="142"/>
      <c r="CW154" s="142"/>
      <c r="CX154" s="142"/>
      <c r="CY154" s="142"/>
      <c r="CZ154" s="142"/>
      <c r="DA154" s="142"/>
      <c r="DB154" s="142"/>
      <c r="DC154" s="142"/>
      <c r="DD154" s="142"/>
      <c r="DE154" s="142"/>
      <c r="DF154" s="142"/>
      <c r="DG154" s="142"/>
      <c r="DH154" s="142"/>
      <c r="DI154" s="142"/>
      <c r="DJ154" s="142"/>
      <c r="DK154" s="142"/>
      <c r="DL154" s="142"/>
      <c r="DM154" s="142"/>
      <c r="DN154" s="142"/>
      <c r="DO154" s="142"/>
      <c r="DP154" s="142"/>
      <c r="DQ154" s="142"/>
      <c r="DR154" s="142"/>
      <c r="DS154" s="142"/>
      <c r="DT154" s="142"/>
      <c r="DU154" s="142"/>
      <c r="DV154" s="142"/>
      <c r="DW154" s="142"/>
      <c r="DX154" s="142"/>
      <c r="DY154" s="142"/>
      <c r="DZ154" s="142"/>
      <c r="EA154" s="142"/>
      <c r="EB154" s="142"/>
      <c r="EC154" s="142"/>
      <c r="ED154" s="142"/>
      <c r="EE154" s="146"/>
      <c r="EF154" s="146"/>
      <c r="EG154" s="146"/>
      <c r="EH154" s="146"/>
      <c r="EI154" s="146"/>
      <c r="EJ154" s="146"/>
      <c r="EK154" s="146"/>
      <c r="EL154" s="146"/>
      <c r="EM154" s="146"/>
      <c r="EN154" s="146"/>
      <c r="EO154" s="146"/>
      <c r="EP154" s="146"/>
      <c r="EQ154" s="146"/>
      <c r="ER154" s="146"/>
      <c r="ES154" s="146"/>
      <c r="ET154" s="146"/>
      <c r="EU154" s="146"/>
      <c r="EV154" s="146"/>
      <c r="EW154" s="146"/>
      <c r="EX154" s="146"/>
      <c r="EY154" s="146"/>
      <c r="EZ154" s="146"/>
      <c r="FA154" s="146"/>
      <c r="FB154" s="146"/>
      <c r="FC154" s="146"/>
    </row>
    <row r="155" spans="2:159" s="93" customFormat="1">
      <c r="AF155" s="48"/>
      <c r="AG155" s="280"/>
      <c r="AH155" s="126"/>
      <c r="AI155" s="44"/>
      <c r="AJ155" s="144"/>
      <c r="AK155" s="97"/>
      <c r="AL155" s="62"/>
      <c r="AM155" s="62"/>
      <c r="AN155" s="62"/>
      <c r="AO155" s="111"/>
      <c r="AP155" s="111"/>
      <c r="AQ155" s="142"/>
      <c r="AR155" s="142"/>
      <c r="AS155" s="158"/>
      <c r="AT155" s="282"/>
      <c r="AU155" s="144"/>
      <c r="AV155" s="144"/>
      <c r="AW155" s="111"/>
      <c r="AX155" s="111"/>
      <c r="AY155" s="111"/>
      <c r="AZ155" s="111"/>
      <c r="BA155" s="111"/>
      <c r="BB155" s="111"/>
      <c r="BC155" s="111"/>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c r="CN155" s="142"/>
      <c r="CO155" s="142"/>
      <c r="CP155" s="142"/>
      <c r="CQ155" s="142"/>
      <c r="CR155" s="142"/>
      <c r="CS155" s="142"/>
      <c r="CT155" s="142"/>
      <c r="CU155" s="142"/>
      <c r="CV155" s="142"/>
      <c r="CW155" s="142"/>
      <c r="CX155" s="142"/>
      <c r="CY155" s="142"/>
      <c r="CZ155" s="142"/>
      <c r="DA155" s="142"/>
      <c r="DB155" s="142"/>
      <c r="DC155" s="142"/>
      <c r="DD155" s="142"/>
      <c r="DE155" s="142"/>
      <c r="DF155" s="142"/>
      <c r="DG155" s="142"/>
      <c r="DH155" s="142"/>
      <c r="DI155" s="142"/>
      <c r="DJ155" s="142"/>
      <c r="DK155" s="142"/>
      <c r="DL155" s="142"/>
      <c r="DM155" s="142"/>
      <c r="DN155" s="142"/>
      <c r="DO155" s="142"/>
      <c r="DP155" s="142"/>
      <c r="DQ155" s="142"/>
      <c r="DR155" s="142"/>
      <c r="DS155" s="142"/>
      <c r="DT155" s="142"/>
      <c r="DU155" s="142"/>
      <c r="DV155" s="142"/>
      <c r="DW155" s="142"/>
      <c r="DX155" s="142"/>
      <c r="DY155" s="142"/>
      <c r="DZ155" s="142"/>
      <c r="EA155" s="142"/>
      <c r="EB155" s="142"/>
      <c r="EC155" s="142"/>
      <c r="ED155" s="142"/>
      <c r="EE155" s="142"/>
      <c r="EF155" s="142"/>
      <c r="EG155" s="146"/>
      <c r="EH155" s="146"/>
      <c r="EI155" s="146"/>
      <c r="EJ155" s="146"/>
      <c r="EK155" s="146"/>
      <c r="EL155" s="146"/>
      <c r="EM155" s="146"/>
      <c r="EN155" s="146"/>
      <c r="EO155" s="146"/>
      <c r="EP155" s="146"/>
      <c r="EQ155" s="146"/>
      <c r="ER155" s="146"/>
      <c r="ES155" s="146"/>
      <c r="ET155" s="146"/>
      <c r="EU155" s="146"/>
      <c r="EV155" s="146"/>
      <c r="EW155" s="146"/>
      <c r="EX155" s="146"/>
      <c r="EY155" s="146"/>
      <c r="EZ155" s="146"/>
      <c r="FA155" s="146"/>
      <c r="FB155" s="146"/>
      <c r="FC155" s="146"/>
    </row>
    <row r="156" spans="2:159" s="93" customFormat="1">
      <c r="AF156" s="48"/>
      <c r="AG156" s="280"/>
      <c r="AH156" s="126"/>
      <c r="AI156" s="44"/>
      <c r="AJ156" s="144"/>
      <c r="AK156" s="97"/>
      <c r="AL156" s="62"/>
      <c r="AM156" s="62"/>
      <c r="AN156" s="62"/>
      <c r="AO156" s="111"/>
      <c r="AP156" s="111"/>
      <c r="AQ156" s="142"/>
      <c r="AR156" s="142"/>
      <c r="AS156" s="48"/>
      <c r="AT156" s="43"/>
      <c r="AU156" s="42"/>
      <c r="AV156" s="42"/>
      <c r="AW156" s="97"/>
      <c r="AX156" s="62"/>
      <c r="AY156" s="62"/>
      <c r="AZ156" s="62"/>
      <c r="BA156" s="111"/>
      <c r="BB156" s="111"/>
      <c r="BC156" s="111"/>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c r="CN156" s="142"/>
      <c r="CO156" s="142"/>
      <c r="CP156" s="142"/>
      <c r="CQ156" s="142"/>
      <c r="CR156" s="142"/>
      <c r="CS156" s="142"/>
      <c r="CT156" s="142"/>
      <c r="CU156" s="142"/>
      <c r="CV156" s="142"/>
      <c r="CW156" s="142"/>
      <c r="CX156" s="142"/>
      <c r="CY156" s="142"/>
      <c r="CZ156" s="142"/>
      <c r="DA156" s="142"/>
      <c r="DB156" s="142"/>
      <c r="DC156" s="142"/>
      <c r="DD156" s="142"/>
      <c r="DE156" s="142"/>
      <c r="DF156" s="142"/>
      <c r="DG156" s="142"/>
      <c r="DH156" s="142"/>
      <c r="DI156" s="142"/>
      <c r="DJ156" s="142"/>
      <c r="DK156" s="142"/>
      <c r="DL156" s="142"/>
      <c r="DM156" s="142"/>
      <c r="DN156" s="142"/>
      <c r="DO156" s="142"/>
      <c r="DP156" s="142"/>
      <c r="DQ156" s="142"/>
      <c r="DR156" s="142"/>
      <c r="DS156" s="142"/>
      <c r="DT156" s="142"/>
      <c r="DU156" s="142"/>
      <c r="DV156" s="142"/>
      <c r="DW156" s="142"/>
      <c r="DX156" s="142"/>
      <c r="DY156" s="142"/>
      <c r="DZ156" s="142"/>
      <c r="EA156" s="142"/>
      <c r="EB156" s="142"/>
      <c r="EC156" s="142"/>
      <c r="ED156" s="142"/>
      <c r="EE156" s="142"/>
      <c r="EF156" s="142"/>
      <c r="EG156" s="146"/>
      <c r="EH156" s="146"/>
      <c r="EI156" s="146"/>
      <c r="EJ156" s="146"/>
      <c r="EK156" s="146"/>
      <c r="EL156" s="146"/>
      <c r="EM156" s="146"/>
      <c r="EN156" s="146"/>
      <c r="EO156" s="146"/>
      <c r="EP156" s="146"/>
      <c r="EQ156" s="146"/>
      <c r="ER156" s="146"/>
      <c r="ES156" s="146"/>
      <c r="ET156" s="146"/>
      <c r="EU156" s="146"/>
      <c r="EV156" s="146"/>
      <c r="EW156" s="146"/>
      <c r="EX156" s="146"/>
      <c r="EY156" s="146"/>
      <c r="EZ156" s="146"/>
      <c r="FA156" s="146"/>
      <c r="FB156" s="146"/>
      <c r="FC156" s="146"/>
    </row>
    <row r="157" spans="2:159" s="93" customFormat="1">
      <c r="AE157" s="130"/>
      <c r="AF157" s="48"/>
      <c r="AG157" s="280"/>
      <c r="AH157" s="126"/>
      <c r="AI157" s="281"/>
      <c r="AJ157" s="144"/>
      <c r="AK157" s="97"/>
      <c r="AL157" s="62"/>
      <c r="AM157" s="62"/>
      <c r="AN157" s="62"/>
      <c r="AO157" s="111"/>
      <c r="AP157" s="111"/>
      <c r="AQ157" s="142"/>
      <c r="AR157" s="130"/>
      <c r="AS157" s="142"/>
      <c r="AT157" s="142"/>
      <c r="AU157" s="142"/>
      <c r="AV157" s="142"/>
      <c r="AW157" s="142"/>
      <c r="AX157" s="142"/>
      <c r="AY157" s="142"/>
      <c r="AZ157" s="142"/>
      <c r="BA157" s="142"/>
      <c r="BB157" s="142"/>
      <c r="BC157" s="142"/>
      <c r="BD157" s="142"/>
      <c r="BE157" s="130"/>
      <c r="BF157" s="142"/>
      <c r="BG157" s="142"/>
      <c r="BH157" s="142"/>
      <c r="BI157" s="142"/>
      <c r="BJ157" s="142"/>
      <c r="BK157" s="142"/>
      <c r="BL157" s="142"/>
      <c r="BM157" s="142"/>
      <c r="BN157" s="142"/>
      <c r="BO157" s="142"/>
      <c r="BP157" s="142"/>
      <c r="BQ157" s="130"/>
      <c r="BR157" s="142"/>
      <c r="BS157" s="142"/>
      <c r="BT157" s="142"/>
      <c r="BU157" s="142"/>
      <c r="BV157" s="142"/>
      <c r="BW157" s="142"/>
      <c r="BX157" s="142"/>
      <c r="BY157" s="142"/>
      <c r="BZ157" s="142"/>
      <c r="CA157" s="142"/>
      <c r="CB157" s="142"/>
      <c r="CC157" s="142"/>
      <c r="CD157" s="130"/>
      <c r="CE157" s="142"/>
      <c r="CF157" s="142"/>
      <c r="CG157" s="142"/>
      <c r="CH157" s="142"/>
      <c r="CI157" s="142"/>
      <c r="CJ157" s="142"/>
      <c r="CK157" s="142"/>
      <c r="CL157" s="142"/>
      <c r="CM157" s="142"/>
      <c r="CN157" s="142"/>
      <c r="CO157" s="142"/>
      <c r="CP157" s="142"/>
      <c r="CQ157" s="142"/>
      <c r="CR157" s="142"/>
      <c r="CS157" s="142"/>
      <c r="CT157" s="142"/>
      <c r="CU157" s="142"/>
      <c r="CV157" s="142"/>
      <c r="CW157" s="142"/>
      <c r="CX157" s="142"/>
      <c r="CY157" s="142"/>
      <c r="CZ157" s="142"/>
      <c r="DA157" s="142"/>
      <c r="DB157" s="142"/>
      <c r="DC157" s="142"/>
      <c r="DD157" s="142"/>
      <c r="DE157" s="142"/>
      <c r="DF157" s="142"/>
      <c r="DG157" s="142"/>
      <c r="DH157" s="142"/>
      <c r="DI157" s="142"/>
      <c r="DJ157" s="142"/>
      <c r="DK157" s="142"/>
      <c r="DL157" s="142"/>
      <c r="DM157" s="142"/>
      <c r="DN157" s="142"/>
      <c r="DO157" s="142"/>
      <c r="DP157" s="142"/>
      <c r="DQ157" s="142"/>
      <c r="DR157" s="142"/>
      <c r="DS157" s="142"/>
      <c r="DT157" s="142"/>
      <c r="DU157" s="142"/>
      <c r="DV157" s="142"/>
      <c r="DW157" s="142"/>
      <c r="DX157" s="142"/>
      <c r="DY157" s="142"/>
      <c r="DZ157" s="142"/>
      <c r="EA157" s="142"/>
      <c r="EB157" s="142"/>
      <c r="EC157" s="142"/>
      <c r="ED157" s="142"/>
      <c r="EE157" s="142"/>
      <c r="EF157" s="142"/>
      <c r="EG157" s="146"/>
      <c r="EH157" s="146"/>
      <c r="EI157" s="146"/>
      <c r="EJ157" s="146"/>
      <c r="EK157" s="146"/>
      <c r="EL157" s="146"/>
      <c r="EM157" s="146"/>
      <c r="EN157" s="146"/>
      <c r="EO157" s="146"/>
      <c r="EP157" s="146"/>
      <c r="EQ157" s="146"/>
      <c r="ER157" s="146"/>
      <c r="ES157" s="146"/>
      <c r="ET157" s="146"/>
      <c r="EU157" s="146"/>
      <c r="EV157" s="146"/>
      <c r="EW157" s="146"/>
      <c r="EX157" s="146"/>
      <c r="EY157" s="146"/>
      <c r="EZ157" s="146"/>
      <c r="FA157" s="146"/>
      <c r="FB157" s="146"/>
      <c r="FC157" s="146"/>
    </row>
    <row r="158" spans="2:159" s="93" customFormat="1">
      <c r="AE158" s="125"/>
      <c r="AF158" s="48"/>
      <c r="AG158" s="280"/>
      <c r="AH158" s="126"/>
      <c r="AI158" s="44"/>
      <c r="AJ158" s="144"/>
      <c r="AK158" s="97"/>
      <c r="AL158" s="62"/>
      <c r="AM158" s="62"/>
      <c r="AN158" s="62"/>
      <c r="AO158" s="111"/>
      <c r="AP158" s="111"/>
      <c r="AQ158" s="142"/>
      <c r="AR158" s="279"/>
      <c r="AS158" s="142"/>
      <c r="AT158" s="142"/>
      <c r="AU158" s="142"/>
      <c r="AV158" s="142"/>
      <c r="AW158" s="142"/>
      <c r="AX158" s="142"/>
      <c r="AY158" s="142"/>
      <c r="AZ158" s="142"/>
      <c r="BA158" s="142"/>
      <c r="BB158" s="142"/>
      <c r="BC158" s="142"/>
      <c r="BD158" s="142"/>
      <c r="BE158" s="279"/>
      <c r="BF158" s="142"/>
      <c r="BG158" s="142"/>
      <c r="BH158" s="142"/>
      <c r="BI158" s="142"/>
      <c r="BJ158" s="142"/>
      <c r="BK158" s="142"/>
      <c r="BL158" s="142"/>
      <c r="BM158" s="142"/>
      <c r="BN158" s="142"/>
      <c r="BO158" s="142"/>
      <c r="BP158" s="142"/>
      <c r="BQ158" s="279"/>
      <c r="BR158" s="142"/>
      <c r="BS158" s="142"/>
      <c r="BT158" s="142"/>
      <c r="BU158" s="142"/>
      <c r="BV158" s="142"/>
      <c r="BW158" s="142"/>
      <c r="BX158" s="142"/>
      <c r="BY158" s="142"/>
      <c r="BZ158" s="142"/>
      <c r="CA158" s="142"/>
      <c r="CB158" s="142"/>
      <c r="CC158" s="142"/>
      <c r="CD158" s="279"/>
      <c r="CE158" s="142"/>
      <c r="CF158" s="142"/>
      <c r="CG158" s="142"/>
      <c r="CH158" s="142"/>
      <c r="CI158" s="142"/>
      <c r="CJ158" s="142"/>
      <c r="CK158" s="142"/>
      <c r="CL158" s="142"/>
      <c r="CM158" s="142"/>
      <c r="CN158" s="142"/>
      <c r="CO158" s="142"/>
      <c r="CP158" s="142"/>
      <c r="CQ158" s="142"/>
      <c r="CR158" s="142"/>
      <c r="CS158" s="142"/>
      <c r="CT158" s="142"/>
      <c r="CU158" s="142"/>
      <c r="CV158" s="142"/>
      <c r="CW158" s="142"/>
      <c r="CX158" s="142"/>
      <c r="CY158" s="142"/>
      <c r="CZ158" s="142"/>
      <c r="DA158" s="142"/>
      <c r="DB158" s="142"/>
      <c r="DC158" s="142"/>
      <c r="DD158" s="142"/>
      <c r="DE158" s="142"/>
      <c r="DF158" s="142"/>
      <c r="DG158" s="142"/>
      <c r="DH158" s="142"/>
      <c r="DI158" s="142"/>
      <c r="DJ158" s="142"/>
      <c r="DK158" s="142"/>
      <c r="DL158" s="142"/>
      <c r="DM158" s="142"/>
      <c r="DN158" s="142"/>
      <c r="DO158" s="142"/>
      <c r="DP158" s="142"/>
      <c r="DQ158" s="142"/>
      <c r="DR158" s="142"/>
      <c r="DS158" s="142"/>
      <c r="DT158" s="142"/>
      <c r="DU158" s="142"/>
      <c r="DV158" s="142"/>
      <c r="DW158" s="142"/>
      <c r="DX158" s="142"/>
      <c r="DY158" s="142"/>
      <c r="DZ158" s="142"/>
      <c r="EA158" s="142"/>
      <c r="EB158" s="142"/>
      <c r="EC158" s="142"/>
      <c r="ED158" s="142"/>
      <c r="EE158" s="142"/>
      <c r="EF158" s="142"/>
      <c r="EG158" s="142"/>
      <c r="EH158" s="142"/>
      <c r="EI158" s="142"/>
      <c r="EJ158" s="142"/>
      <c r="EK158" s="142"/>
      <c r="EL158" s="142"/>
      <c r="EM158" s="142"/>
      <c r="EN158" s="142"/>
      <c r="EO158" s="142"/>
      <c r="EP158" s="142"/>
      <c r="EQ158" s="142"/>
      <c r="ER158" s="142"/>
      <c r="ES158" s="142"/>
      <c r="ET158" s="142"/>
      <c r="EU158" s="142"/>
      <c r="EV158" s="142"/>
      <c r="EW158" s="142"/>
      <c r="EX158" s="142"/>
      <c r="EY158" s="142"/>
      <c r="EZ158" s="142"/>
      <c r="FA158" s="142"/>
      <c r="FB158" s="142"/>
      <c r="FC158" s="142"/>
    </row>
    <row r="159" spans="2:159" s="93" customFormat="1">
      <c r="AE159" s="45"/>
      <c r="AF159" s="48"/>
      <c r="AG159" s="280"/>
      <c r="AH159" s="126"/>
      <c r="AI159" s="44"/>
      <c r="AJ159" s="144"/>
      <c r="AK159" s="97"/>
      <c r="AL159" s="62"/>
      <c r="AM159" s="62"/>
      <c r="AN159" s="62"/>
      <c r="AO159" s="111"/>
      <c r="AP159" s="111"/>
      <c r="AQ159" s="142"/>
      <c r="AR159" s="45"/>
      <c r="AS159" s="142"/>
      <c r="AT159" s="142"/>
      <c r="AU159" s="142"/>
      <c r="AV159" s="142"/>
      <c r="AW159" s="142"/>
      <c r="AX159" s="142"/>
      <c r="AY159" s="142"/>
      <c r="AZ159" s="142"/>
      <c r="BA159" s="142"/>
      <c r="BB159" s="142"/>
      <c r="BC159" s="142"/>
      <c r="BD159" s="142"/>
      <c r="BE159" s="45"/>
      <c r="BF159" s="142"/>
      <c r="BG159" s="142"/>
      <c r="BH159" s="142"/>
      <c r="BI159" s="142"/>
      <c r="BJ159" s="142"/>
      <c r="BK159" s="142"/>
      <c r="BL159" s="142"/>
      <c r="BM159" s="142"/>
      <c r="BN159" s="142"/>
      <c r="BO159" s="142"/>
      <c r="BP159" s="142"/>
      <c r="BQ159" s="45"/>
      <c r="BR159" s="142"/>
      <c r="BS159" s="142"/>
      <c r="BT159" s="142"/>
      <c r="BU159" s="142"/>
      <c r="BV159" s="142"/>
      <c r="BW159" s="142"/>
      <c r="BX159" s="142"/>
      <c r="BY159" s="142"/>
      <c r="BZ159" s="142"/>
      <c r="CA159" s="142"/>
      <c r="CB159" s="142"/>
      <c r="CC159" s="142"/>
      <c r="CD159" s="45"/>
      <c r="CE159" s="142"/>
      <c r="CF159" s="142"/>
      <c r="CG159" s="142"/>
      <c r="CH159" s="142"/>
      <c r="CI159" s="142"/>
      <c r="CJ159" s="142"/>
      <c r="CK159" s="142"/>
      <c r="CL159" s="142"/>
      <c r="CM159" s="142"/>
      <c r="CN159" s="142"/>
      <c r="CO159" s="142"/>
      <c r="CP159" s="142"/>
      <c r="CQ159" s="142"/>
      <c r="CR159" s="142"/>
      <c r="CS159" s="142"/>
      <c r="CT159" s="142"/>
      <c r="CU159" s="142"/>
      <c r="CV159" s="142"/>
      <c r="CW159" s="142"/>
      <c r="CX159" s="142"/>
      <c r="CY159" s="142"/>
      <c r="CZ159" s="142"/>
      <c r="DA159" s="142"/>
      <c r="DB159" s="142"/>
      <c r="DC159" s="142"/>
      <c r="DD159" s="142"/>
      <c r="DE159" s="142"/>
      <c r="DF159" s="142"/>
      <c r="DG159" s="142"/>
      <c r="DH159" s="142"/>
      <c r="DI159" s="142"/>
      <c r="DJ159" s="142"/>
      <c r="DK159" s="142"/>
      <c r="DL159" s="142"/>
      <c r="DM159" s="142"/>
      <c r="DN159" s="142"/>
      <c r="DO159" s="142"/>
      <c r="DP159" s="142"/>
      <c r="DQ159" s="142"/>
      <c r="DR159" s="142"/>
      <c r="DS159" s="142"/>
      <c r="DT159" s="142"/>
      <c r="DU159" s="142"/>
      <c r="DV159" s="142"/>
      <c r="DW159" s="142"/>
      <c r="DX159" s="142"/>
      <c r="DY159" s="142"/>
      <c r="DZ159" s="142"/>
      <c r="EA159" s="142"/>
      <c r="EB159" s="142"/>
      <c r="EC159" s="142"/>
      <c r="ED159" s="142"/>
      <c r="EE159" s="142"/>
      <c r="EF159" s="142"/>
      <c r="EG159" s="142"/>
      <c r="EH159" s="142"/>
      <c r="EI159" s="142"/>
      <c r="EJ159" s="142"/>
      <c r="EK159" s="142"/>
      <c r="EL159" s="142"/>
      <c r="EM159" s="142"/>
      <c r="EN159" s="142"/>
      <c r="EO159" s="142"/>
      <c r="EP159" s="142"/>
      <c r="EQ159" s="142"/>
      <c r="ER159" s="142"/>
      <c r="ES159" s="142"/>
      <c r="ET159" s="142"/>
      <c r="EU159" s="142"/>
      <c r="EV159" s="142"/>
      <c r="EW159" s="142"/>
      <c r="EX159" s="142"/>
      <c r="EY159" s="142"/>
      <c r="EZ159" s="142"/>
      <c r="FA159" s="142"/>
      <c r="FB159" s="142"/>
      <c r="FC159" s="142"/>
    </row>
    <row r="160" spans="2:159" s="93" customFormat="1">
      <c r="AE160" s="125"/>
      <c r="AF160" s="48"/>
      <c r="AG160" s="280"/>
      <c r="AH160" s="126"/>
      <c r="AI160" s="281"/>
      <c r="AJ160" s="144"/>
      <c r="AK160" s="97"/>
      <c r="AL160" s="62"/>
      <c r="AM160" s="62"/>
      <c r="AN160" s="62"/>
      <c r="AO160" s="111"/>
      <c r="AP160" s="111"/>
      <c r="AQ160" s="142"/>
      <c r="AR160" s="142"/>
      <c r="AS160" s="142"/>
      <c r="AT160" s="142"/>
      <c r="AU160" s="142"/>
      <c r="AV160" s="142"/>
      <c r="AW160" s="142"/>
      <c r="AX160" s="142"/>
      <c r="AY160" s="142"/>
      <c r="AZ160" s="142"/>
      <c r="BA160" s="142"/>
      <c r="BB160" s="142"/>
      <c r="BC160" s="142"/>
      <c r="BD160" s="142"/>
      <c r="BE160" s="279"/>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279"/>
      <c r="CE160" s="142"/>
      <c r="CF160" s="142"/>
      <c r="CG160" s="142"/>
      <c r="CH160" s="142"/>
      <c r="CI160" s="142"/>
      <c r="CJ160" s="142"/>
      <c r="CK160" s="142"/>
      <c r="CL160" s="142"/>
      <c r="CM160" s="142"/>
      <c r="CN160" s="142"/>
      <c r="CO160" s="142"/>
      <c r="CP160" s="142"/>
      <c r="CQ160" s="142"/>
      <c r="CR160" s="142"/>
      <c r="CS160" s="142"/>
      <c r="CT160" s="142"/>
      <c r="CU160" s="142"/>
      <c r="CV160" s="142"/>
      <c r="CW160" s="142"/>
      <c r="CX160" s="142"/>
      <c r="CY160" s="142"/>
      <c r="CZ160" s="142"/>
      <c r="DA160" s="142"/>
      <c r="DB160" s="142"/>
      <c r="DC160" s="142"/>
      <c r="DD160" s="142"/>
      <c r="DE160" s="142"/>
      <c r="DF160" s="142"/>
      <c r="DG160" s="142"/>
      <c r="DH160" s="142"/>
      <c r="DI160" s="142"/>
      <c r="DJ160" s="142"/>
      <c r="DK160" s="142"/>
      <c r="DL160" s="142"/>
      <c r="DM160" s="142"/>
      <c r="DN160" s="142"/>
      <c r="DO160" s="142"/>
      <c r="DP160" s="142"/>
      <c r="DQ160" s="142"/>
      <c r="DR160" s="142"/>
      <c r="DS160" s="142"/>
      <c r="DT160" s="142"/>
      <c r="DU160" s="142"/>
      <c r="DV160" s="142"/>
      <c r="DW160" s="142"/>
      <c r="DX160" s="142"/>
      <c r="DY160" s="142"/>
      <c r="DZ160" s="142"/>
      <c r="EA160" s="142"/>
      <c r="EB160" s="142"/>
      <c r="EC160" s="142"/>
      <c r="ED160" s="142"/>
      <c r="EE160" s="142"/>
      <c r="EF160" s="142"/>
      <c r="EG160" s="142"/>
      <c r="EH160" s="142"/>
      <c r="EI160" s="142"/>
      <c r="EJ160" s="142"/>
      <c r="EK160" s="142"/>
      <c r="EL160" s="142"/>
      <c r="EM160" s="142"/>
      <c r="EN160" s="142"/>
      <c r="EO160" s="142"/>
      <c r="EP160" s="142"/>
      <c r="EQ160" s="142"/>
      <c r="ER160" s="142"/>
      <c r="ES160" s="142"/>
      <c r="ET160" s="142"/>
      <c r="EU160" s="142"/>
      <c r="EV160" s="142"/>
      <c r="EW160" s="142"/>
      <c r="EX160" s="142"/>
      <c r="EY160" s="142"/>
      <c r="EZ160" s="142"/>
      <c r="FA160" s="142"/>
      <c r="FB160" s="142"/>
      <c r="FC160" s="142"/>
    </row>
    <row r="161" spans="31:159" s="93" customFormat="1">
      <c r="AE161" s="125"/>
      <c r="AF161" s="48"/>
      <c r="AG161" s="280"/>
      <c r="AH161" s="126"/>
      <c r="AI161" s="44"/>
      <c r="AJ161" s="144"/>
      <c r="AK161" s="97"/>
      <c r="AL161" s="62"/>
      <c r="AM161" s="62"/>
      <c r="AN161" s="62"/>
      <c r="AO161" s="111"/>
      <c r="AP161" s="111"/>
      <c r="AQ161" s="142"/>
      <c r="AR161" s="142"/>
      <c r="AS161" s="142"/>
      <c r="AT161" s="142"/>
      <c r="AU161" s="142"/>
      <c r="AV161" s="142"/>
      <c r="AW161" s="142"/>
      <c r="AX161" s="142"/>
      <c r="AY161" s="142"/>
      <c r="AZ161" s="142"/>
      <c r="BA161" s="142"/>
      <c r="BB161" s="142"/>
      <c r="BC161" s="142"/>
      <c r="BD161" s="142"/>
      <c r="BE161" s="279"/>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279"/>
      <c r="CE161" s="142"/>
      <c r="CF161" s="142"/>
      <c r="CG161" s="142"/>
      <c r="CH161" s="142"/>
      <c r="CI161" s="142"/>
      <c r="CJ161" s="142"/>
      <c r="CK161" s="142"/>
      <c r="CL161" s="142"/>
      <c r="CM161" s="142"/>
      <c r="CN161" s="142"/>
      <c r="CO161" s="142"/>
      <c r="CP161" s="142"/>
      <c r="CQ161" s="142"/>
      <c r="CR161" s="142"/>
      <c r="CS161" s="142"/>
      <c r="CT161" s="142"/>
      <c r="CU161" s="142"/>
      <c r="CV161" s="142"/>
      <c r="CW161" s="142"/>
      <c r="CX161" s="142"/>
      <c r="CY161" s="142"/>
      <c r="CZ161" s="142"/>
      <c r="DA161" s="142"/>
      <c r="DB161" s="142"/>
      <c r="DC161" s="142"/>
      <c r="DD161" s="142"/>
      <c r="DE161" s="142"/>
      <c r="DF161" s="142"/>
      <c r="DG161" s="142"/>
      <c r="DH161" s="142"/>
      <c r="DI161" s="142"/>
      <c r="DJ161" s="142"/>
      <c r="DK161" s="142"/>
      <c r="DL161" s="142"/>
      <c r="DM161" s="142"/>
      <c r="DN161" s="142"/>
      <c r="DO161" s="142"/>
      <c r="DP161" s="142"/>
      <c r="DQ161" s="142"/>
      <c r="DR161" s="142"/>
      <c r="DS161" s="142"/>
      <c r="DT161" s="142"/>
      <c r="DU161" s="142"/>
      <c r="DV161" s="142"/>
      <c r="DW161" s="142"/>
      <c r="DX161" s="142"/>
      <c r="DY161" s="142"/>
      <c r="DZ161" s="142"/>
      <c r="EA161" s="142"/>
      <c r="EB161" s="142"/>
      <c r="EC161" s="142"/>
      <c r="ED161" s="142"/>
      <c r="EE161" s="142"/>
      <c r="EF161" s="142"/>
      <c r="EG161" s="142"/>
      <c r="EH161" s="142"/>
      <c r="EI161" s="142"/>
      <c r="EJ161" s="142"/>
      <c r="EK161" s="142"/>
      <c r="EL161" s="142"/>
      <c r="EM161" s="142"/>
      <c r="EN161" s="142"/>
      <c r="EO161" s="142"/>
      <c r="EP161" s="142"/>
      <c r="EQ161" s="142"/>
      <c r="ER161" s="142"/>
      <c r="ES161" s="142"/>
      <c r="ET161" s="142"/>
      <c r="EU161" s="142"/>
      <c r="EV161" s="142"/>
      <c r="EW161" s="142"/>
      <c r="EX161" s="142"/>
      <c r="EY161" s="142"/>
      <c r="EZ161" s="142"/>
      <c r="FA161" s="142"/>
      <c r="FB161" s="142"/>
      <c r="FC161" s="142"/>
    </row>
    <row r="162" spans="31:159" s="93" customFormat="1">
      <c r="AE162" s="125"/>
      <c r="AF162" s="48"/>
      <c r="AG162" s="280"/>
      <c r="AH162" s="126"/>
      <c r="AI162" s="44"/>
      <c r="AJ162" s="144"/>
      <c r="AK162" s="97"/>
      <c r="AL162" s="62"/>
      <c r="AM162" s="62"/>
      <c r="AN162" s="62"/>
      <c r="AO162" s="111"/>
      <c r="AP162" s="111"/>
      <c r="AQ162" s="142"/>
      <c r="AR162" s="142"/>
      <c r="AS162" s="142"/>
      <c r="AT162" s="142"/>
      <c r="AU162" s="142"/>
      <c r="AV162" s="142"/>
      <c r="AW162" s="142"/>
      <c r="AX162" s="142"/>
      <c r="AY162" s="142"/>
      <c r="AZ162" s="142"/>
      <c r="BA162" s="142"/>
      <c r="BB162" s="142"/>
      <c r="BC162" s="142"/>
      <c r="BD162" s="47"/>
      <c r="BE162" s="279"/>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c r="CN162" s="142"/>
      <c r="CO162" s="142"/>
      <c r="CP162" s="142"/>
      <c r="CQ162" s="142"/>
      <c r="CR162" s="142"/>
      <c r="CS162" s="142"/>
      <c r="CT162" s="142"/>
      <c r="CU162" s="142"/>
      <c r="CV162" s="142"/>
      <c r="CW162" s="142"/>
      <c r="CX162" s="142"/>
      <c r="CY162" s="142"/>
      <c r="CZ162" s="142"/>
      <c r="DA162" s="142"/>
      <c r="DB162" s="142"/>
      <c r="DC162" s="142"/>
      <c r="DD162" s="142"/>
      <c r="DE162" s="142"/>
      <c r="DF162" s="142"/>
      <c r="DG162" s="142"/>
      <c r="DH162" s="142"/>
      <c r="DI162" s="142"/>
      <c r="DJ162" s="142"/>
      <c r="DK162" s="142"/>
      <c r="DL162" s="142"/>
      <c r="DM162" s="142"/>
      <c r="DN162" s="142"/>
      <c r="DO162" s="142"/>
      <c r="DP162" s="142"/>
      <c r="DQ162" s="142"/>
      <c r="DR162" s="142"/>
      <c r="DS162" s="142"/>
      <c r="DT162" s="142"/>
      <c r="DU162" s="142"/>
      <c r="DV162" s="142"/>
      <c r="DW162" s="142"/>
      <c r="DX162" s="142"/>
      <c r="DY162" s="142"/>
      <c r="DZ162" s="142"/>
      <c r="EA162" s="142"/>
      <c r="EB162" s="142"/>
      <c r="EC162" s="142"/>
      <c r="ED162" s="142"/>
      <c r="EE162" s="142"/>
      <c r="EF162" s="142"/>
      <c r="EG162" s="142"/>
      <c r="EH162" s="142"/>
      <c r="EI162" s="142"/>
      <c r="EJ162" s="142"/>
      <c r="EK162" s="142"/>
      <c r="EL162" s="142"/>
      <c r="EM162" s="142"/>
      <c r="EN162" s="142"/>
      <c r="EO162" s="142"/>
      <c r="EP162" s="142"/>
      <c r="EQ162" s="142"/>
      <c r="ER162" s="142"/>
      <c r="ES162" s="142"/>
      <c r="ET162" s="142"/>
      <c r="EU162" s="142"/>
      <c r="EV162" s="142"/>
      <c r="EW162" s="142"/>
      <c r="EX162" s="142"/>
      <c r="EY162" s="142"/>
      <c r="EZ162" s="142"/>
      <c r="FA162" s="142"/>
      <c r="FB162" s="142"/>
      <c r="FC162" s="142"/>
    </row>
    <row r="163" spans="31:159" s="93" customFormat="1">
      <c r="AE163" s="46"/>
      <c r="AF163" s="48"/>
      <c r="AG163" s="280"/>
      <c r="AH163" s="126"/>
      <c r="AI163" s="281"/>
      <c r="AJ163" s="144"/>
      <c r="AK163" s="97"/>
      <c r="AL163" s="62"/>
      <c r="AM163" s="62"/>
      <c r="AN163" s="62"/>
      <c r="AO163" s="111"/>
      <c r="AP163" s="111"/>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c r="CN163" s="142"/>
      <c r="CO163" s="142"/>
      <c r="CP163" s="142"/>
      <c r="CQ163" s="142"/>
      <c r="CR163" s="142"/>
      <c r="CS163" s="142"/>
      <c r="CT163" s="142"/>
      <c r="CU163" s="142"/>
      <c r="CV163" s="142"/>
      <c r="CW163" s="142"/>
      <c r="CX163" s="142"/>
      <c r="CY163" s="142"/>
      <c r="CZ163" s="142"/>
      <c r="DA163" s="142"/>
      <c r="DB163" s="142"/>
      <c r="DC163" s="142"/>
      <c r="DD163" s="142"/>
      <c r="DE163" s="142"/>
      <c r="DF163" s="142"/>
      <c r="DG163" s="142"/>
      <c r="DH163" s="142"/>
      <c r="DI163" s="142"/>
      <c r="DJ163" s="142"/>
      <c r="DK163" s="142"/>
      <c r="DL163" s="142"/>
      <c r="DM163" s="142"/>
      <c r="DN163" s="142"/>
      <c r="DO163" s="142"/>
      <c r="DP163" s="142"/>
      <c r="DQ163" s="142"/>
      <c r="DR163" s="142"/>
      <c r="DS163" s="142"/>
      <c r="DT163" s="142"/>
      <c r="DU163" s="142"/>
      <c r="DV163" s="142"/>
      <c r="DW163" s="142"/>
      <c r="DX163" s="142"/>
      <c r="DY163" s="142"/>
      <c r="DZ163" s="142"/>
      <c r="EA163" s="142"/>
      <c r="EB163" s="142"/>
      <c r="EC163" s="142"/>
      <c r="ED163" s="142"/>
      <c r="EE163" s="142"/>
      <c r="EF163" s="142"/>
      <c r="EG163" s="142"/>
      <c r="EH163" s="142"/>
      <c r="EI163" s="142"/>
      <c r="EJ163" s="142"/>
      <c r="EK163" s="142"/>
      <c r="EL163" s="142"/>
      <c r="EM163" s="142"/>
      <c r="EN163" s="142"/>
      <c r="EO163" s="142"/>
      <c r="EP163" s="142"/>
      <c r="EQ163" s="142"/>
      <c r="ER163" s="142"/>
      <c r="ES163" s="142"/>
      <c r="ET163" s="142"/>
      <c r="EU163" s="142"/>
      <c r="EV163" s="142"/>
      <c r="EW163" s="142"/>
      <c r="EX163" s="142"/>
      <c r="EY163" s="142"/>
      <c r="EZ163" s="142"/>
      <c r="FA163" s="142"/>
      <c r="FB163" s="142"/>
      <c r="FC163" s="142"/>
    </row>
    <row r="164" spans="31:159" s="93" customFormat="1">
      <c r="AE164" s="45"/>
      <c r="AF164" s="48"/>
      <c r="AG164" s="280"/>
      <c r="AH164" s="126"/>
      <c r="AI164" s="44"/>
      <c r="AJ164" s="144"/>
      <c r="AK164" s="97"/>
      <c r="AL164" s="62"/>
      <c r="AM164" s="62"/>
      <c r="AN164" s="62"/>
      <c r="AO164" s="111"/>
      <c r="AP164" s="111"/>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c r="CN164" s="142"/>
      <c r="CO164" s="142"/>
      <c r="CP164" s="142"/>
      <c r="CQ164" s="142"/>
      <c r="CR164" s="142"/>
      <c r="CS164" s="142"/>
      <c r="CT164" s="142"/>
      <c r="CU164" s="142"/>
      <c r="CV164" s="142"/>
      <c r="CW164" s="142"/>
      <c r="CX164" s="142"/>
      <c r="CY164" s="142"/>
      <c r="CZ164" s="142"/>
      <c r="DA164" s="142"/>
      <c r="DB164" s="142"/>
      <c r="DC164" s="142"/>
      <c r="DD164" s="142"/>
      <c r="DE164" s="142"/>
      <c r="DF164" s="142"/>
      <c r="DG164" s="142"/>
      <c r="DH164" s="142"/>
      <c r="DI164" s="142"/>
      <c r="DJ164" s="142"/>
      <c r="DK164" s="142"/>
      <c r="DL164" s="142"/>
      <c r="DM164" s="142"/>
      <c r="DN164" s="142"/>
      <c r="DO164" s="142"/>
      <c r="DP164" s="142"/>
      <c r="DQ164" s="142"/>
      <c r="DR164" s="142"/>
      <c r="DS164" s="142"/>
      <c r="DT164" s="142"/>
      <c r="DU164" s="142"/>
      <c r="DV164" s="142"/>
      <c r="DW164" s="142"/>
      <c r="DX164" s="142"/>
      <c r="DY164" s="142"/>
      <c r="DZ164" s="142"/>
      <c r="EA164" s="142"/>
      <c r="EB164" s="142"/>
      <c r="EC164" s="142"/>
      <c r="ED164" s="142"/>
      <c r="EE164" s="142"/>
      <c r="EF164" s="142"/>
      <c r="EG164" s="142"/>
      <c r="EH164" s="142"/>
      <c r="EI164" s="142"/>
      <c r="EJ164" s="142"/>
      <c r="EK164" s="142"/>
      <c r="EL164" s="142"/>
      <c r="EM164" s="142"/>
      <c r="EN164" s="142"/>
      <c r="EO164" s="142"/>
      <c r="EP164" s="142"/>
      <c r="EQ164" s="142"/>
      <c r="ER164" s="142"/>
      <c r="ES164" s="142"/>
      <c r="ET164" s="142"/>
      <c r="EU164" s="142"/>
      <c r="EV164" s="142"/>
      <c r="EW164" s="142"/>
      <c r="EX164" s="142"/>
      <c r="EY164" s="142"/>
      <c r="EZ164" s="142"/>
      <c r="FA164" s="142"/>
      <c r="FB164" s="142"/>
      <c r="FC164" s="142"/>
    </row>
    <row r="165" spans="31:159" s="93" customFormat="1">
      <c r="AE165" s="125"/>
      <c r="AF165" s="158"/>
      <c r="AG165" s="282"/>
      <c r="AH165" s="97"/>
      <c r="AI165" s="144"/>
      <c r="AJ165" s="111"/>
      <c r="AK165" s="111"/>
      <c r="AL165" s="111"/>
      <c r="AM165" s="111"/>
      <c r="AN165" s="111"/>
      <c r="AO165" s="111"/>
      <c r="AP165" s="111"/>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c r="CN165" s="142"/>
      <c r="CO165" s="142"/>
      <c r="CP165" s="142"/>
      <c r="CQ165" s="142"/>
      <c r="CR165" s="142"/>
      <c r="CS165" s="142"/>
      <c r="CT165" s="142"/>
      <c r="CU165" s="142"/>
      <c r="CV165" s="142"/>
      <c r="CW165" s="142"/>
      <c r="CX165" s="142"/>
      <c r="CY165" s="142"/>
      <c r="CZ165" s="142"/>
      <c r="DA165" s="142"/>
      <c r="DB165" s="142"/>
      <c r="DC165" s="142"/>
      <c r="DD165" s="142"/>
      <c r="DE165" s="142"/>
      <c r="DF165" s="142"/>
      <c r="DG165" s="142"/>
      <c r="DH165" s="142"/>
      <c r="DI165" s="142"/>
      <c r="DJ165" s="142"/>
      <c r="DK165" s="142"/>
      <c r="DL165" s="142"/>
      <c r="DM165" s="142"/>
      <c r="DN165" s="142"/>
      <c r="DO165" s="142"/>
      <c r="DP165" s="142"/>
      <c r="DQ165" s="142"/>
      <c r="DR165" s="142"/>
      <c r="DS165" s="142"/>
      <c r="DT165" s="142"/>
      <c r="DU165" s="142"/>
      <c r="DV165" s="142"/>
      <c r="DW165" s="142"/>
      <c r="DX165" s="142"/>
      <c r="DY165" s="142"/>
      <c r="DZ165" s="142"/>
      <c r="EA165" s="142"/>
      <c r="EB165" s="142"/>
      <c r="EC165" s="142"/>
      <c r="ED165" s="142"/>
      <c r="EE165" s="142"/>
      <c r="EF165" s="142"/>
      <c r="EG165" s="142"/>
      <c r="EH165" s="142"/>
      <c r="EI165" s="142"/>
      <c r="EJ165" s="142"/>
      <c r="EK165" s="142"/>
      <c r="EL165" s="142"/>
      <c r="EM165" s="142"/>
      <c r="EN165" s="142"/>
      <c r="EO165" s="142"/>
      <c r="EP165" s="142"/>
      <c r="EQ165" s="142"/>
      <c r="ER165" s="142"/>
      <c r="ES165" s="142"/>
      <c r="ET165" s="142"/>
      <c r="EU165" s="142"/>
      <c r="EV165" s="142"/>
      <c r="EW165" s="142"/>
      <c r="EX165" s="142"/>
      <c r="EY165" s="142"/>
      <c r="EZ165" s="142"/>
      <c r="FA165" s="142"/>
      <c r="FB165" s="142"/>
      <c r="FC165" s="142"/>
    </row>
    <row r="166" spans="31:159" s="93" customFormat="1">
      <c r="AE166" s="125"/>
      <c r="AF166" s="48"/>
      <c r="AG166" s="43"/>
      <c r="AH166" s="48"/>
      <c r="AI166" s="42"/>
      <c r="AJ166" s="144"/>
      <c r="AK166" s="97"/>
      <c r="AL166" s="62"/>
      <c r="AM166" s="62"/>
      <c r="AN166" s="62"/>
      <c r="AO166" s="111"/>
      <c r="AP166" s="111"/>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c r="CN166" s="142"/>
      <c r="CO166" s="142"/>
      <c r="CP166" s="142"/>
      <c r="CQ166" s="142"/>
      <c r="CR166" s="142"/>
      <c r="CS166" s="142"/>
      <c r="CT166" s="142"/>
      <c r="CU166" s="142"/>
      <c r="CV166" s="142"/>
      <c r="CW166" s="142"/>
      <c r="CX166" s="142"/>
      <c r="CY166" s="142"/>
      <c r="CZ166" s="142"/>
      <c r="DA166" s="142"/>
      <c r="DB166" s="142"/>
      <c r="DC166" s="142"/>
      <c r="DD166" s="142"/>
      <c r="DE166" s="142"/>
      <c r="DF166" s="142"/>
      <c r="DG166" s="142"/>
      <c r="DH166" s="142"/>
      <c r="DI166" s="142"/>
      <c r="DJ166" s="142"/>
      <c r="DK166" s="142"/>
      <c r="DL166" s="142"/>
      <c r="DM166" s="142"/>
      <c r="DN166" s="142"/>
      <c r="DO166" s="142"/>
      <c r="DP166" s="142"/>
      <c r="DQ166" s="142"/>
      <c r="DR166" s="142"/>
      <c r="DS166" s="142"/>
      <c r="DT166" s="142"/>
      <c r="DU166" s="142"/>
      <c r="DV166" s="142"/>
      <c r="DW166" s="142"/>
      <c r="DX166" s="142"/>
      <c r="DY166" s="142"/>
      <c r="DZ166" s="142"/>
      <c r="EA166" s="142"/>
      <c r="EB166" s="142"/>
      <c r="EC166" s="142"/>
      <c r="ED166" s="142"/>
      <c r="EE166" s="142"/>
      <c r="EF166" s="142"/>
      <c r="EG166" s="142"/>
      <c r="EH166" s="142"/>
      <c r="EI166" s="142"/>
      <c r="EJ166" s="142"/>
      <c r="EK166" s="142"/>
      <c r="EL166" s="142"/>
      <c r="EM166" s="142"/>
      <c r="EN166" s="142"/>
      <c r="EO166" s="142"/>
      <c r="EP166" s="142"/>
      <c r="EQ166" s="142"/>
      <c r="ER166" s="142"/>
      <c r="ES166" s="142"/>
      <c r="ET166" s="142"/>
      <c r="EU166" s="142"/>
      <c r="EV166" s="142"/>
      <c r="EW166" s="142"/>
      <c r="EX166" s="142"/>
      <c r="EY166" s="142"/>
      <c r="EZ166" s="142"/>
      <c r="FA166" s="142"/>
      <c r="FB166" s="142"/>
      <c r="FC166" s="142"/>
    </row>
    <row r="167" spans="31:159" s="93" customFormat="1">
      <c r="AE167" s="125"/>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c r="CN167" s="142"/>
      <c r="CO167" s="142"/>
      <c r="CP167" s="142"/>
      <c r="CQ167" s="142"/>
      <c r="CR167" s="142"/>
      <c r="CS167" s="142"/>
      <c r="CT167" s="142"/>
      <c r="CU167" s="142"/>
      <c r="CV167" s="142"/>
      <c r="CW167" s="142"/>
      <c r="CX167" s="142"/>
      <c r="CY167" s="142"/>
      <c r="CZ167" s="142"/>
      <c r="DA167" s="142"/>
      <c r="DB167" s="142"/>
      <c r="DC167" s="142"/>
      <c r="DD167" s="142"/>
      <c r="DE167" s="142"/>
      <c r="DF167" s="142"/>
      <c r="DG167" s="142"/>
      <c r="DH167" s="142"/>
      <c r="DI167" s="142"/>
      <c r="DJ167" s="142"/>
      <c r="DK167" s="142"/>
      <c r="DL167" s="142"/>
      <c r="DM167" s="142"/>
      <c r="DN167" s="142"/>
      <c r="DO167" s="142"/>
      <c r="DP167" s="142"/>
      <c r="DQ167" s="142"/>
      <c r="DR167" s="142"/>
      <c r="DS167" s="142"/>
      <c r="DT167" s="142"/>
      <c r="DU167" s="142"/>
      <c r="DV167" s="142"/>
      <c r="DW167" s="142"/>
      <c r="DX167" s="142"/>
      <c r="DY167" s="142"/>
      <c r="DZ167" s="142"/>
      <c r="EA167" s="142"/>
      <c r="EB167" s="142"/>
      <c r="EC167" s="142"/>
      <c r="ED167" s="142"/>
      <c r="EE167" s="142"/>
      <c r="EF167" s="142"/>
      <c r="EG167" s="142"/>
      <c r="EH167" s="142"/>
      <c r="EI167" s="142"/>
      <c r="EJ167" s="142"/>
      <c r="EK167" s="142"/>
      <c r="EL167" s="142"/>
      <c r="EM167" s="142"/>
      <c r="EN167" s="142"/>
      <c r="EO167" s="142"/>
      <c r="EP167" s="142"/>
      <c r="EQ167" s="142"/>
      <c r="ER167" s="142"/>
      <c r="ES167" s="142"/>
      <c r="ET167" s="142"/>
      <c r="EU167" s="142"/>
      <c r="EV167" s="142"/>
      <c r="EW167" s="142"/>
      <c r="EX167" s="142"/>
      <c r="EY167" s="142"/>
      <c r="EZ167" s="142"/>
      <c r="FA167" s="142"/>
      <c r="FB167" s="142"/>
      <c r="FC167" s="142"/>
    </row>
    <row r="168" spans="31:159" s="93" customFormat="1">
      <c r="AE168" s="125"/>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c r="CN168" s="142"/>
      <c r="CO168" s="142"/>
      <c r="CP168" s="142"/>
      <c r="CQ168" s="142"/>
      <c r="CR168" s="142"/>
      <c r="CS168" s="142"/>
      <c r="CT168" s="142"/>
      <c r="CU168" s="142"/>
      <c r="CV168" s="142"/>
      <c r="CW168" s="142"/>
      <c r="CX168" s="142"/>
      <c r="CY168" s="142"/>
      <c r="CZ168" s="142"/>
      <c r="DA168" s="142"/>
      <c r="DB168" s="142"/>
      <c r="DC168" s="142"/>
      <c r="DD168" s="142"/>
      <c r="DE168" s="142"/>
      <c r="DF168" s="142"/>
      <c r="DG168" s="142"/>
      <c r="DH168" s="142"/>
      <c r="DI168" s="142"/>
      <c r="DJ168" s="142"/>
      <c r="DK168" s="142"/>
      <c r="DL168" s="142"/>
      <c r="DM168" s="142"/>
      <c r="DN168" s="142"/>
      <c r="DO168" s="142"/>
      <c r="DP168" s="142"/>
      <c r="DQ168" s="142"/>
      <c r="DR168" s="142"/>
      <c r="DS168" s="142"/>
      <c r="DT168" s="142"/>
      <c r="DU168" s="142"/>
      <c r="DV168" s="142"/>
      <c r="DW168" s="142"/>
      <c r="DX168" s="142"/>
      <c r="DY168" s="142"/>
      <c r="DZ168" s="142"/>
      <c r="EA168" s="142"/>
      <c r="EB168" s="142"/>
      <c r="EC168" s="142"/>
      <c r="ED168" s="142"/>
      <c r="EE168" s="142"/>
      <c r="EF168" s="142"/>
      <c r="EG168" s="142"/>
      <c r="EH168" s="142"/>
      <c r="EI168" s="142"/>
      <c r="EJ168" s="142"/>
      <c r="EK168" s="142"/>
      <c r="EL168" s="142"/>
      <c r="EM168" s="142"/>
      <c r="EN168" s="142"/>
      <c r="EO168" s="142"/>
      <c r="EP168" s="142"/>
      <c r="EQ168" s="142"/>
      <c r="ER168" s="142"/>
      <c r="ES168" s="142"/>
      <c r="ET168" s="142"/>
      <c r="EU168" s="142"/>
      <c r="EV168" s="142"/>
      <c r="EW168" s="142"/>
      <c r="EX168" s="142"/>
      <c r="EY168" s="142"/>
      <c r="EZ168" s="142"/>
      <c r="FA168" s="142"/>
      <c r="FB168" s="142"/>
      <c r="FC168" s="142"/>
    </row>
    <row r="169" spans="31:159" s="93" customFormat="1">
      <c r="AE169" s="125"/>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c r="CN169" s="142"/>
      <c r="CO169" s="142"/>
      <c r="CP169" s="142"/>
      <c r="CQ169" s="142"/>
      <c r="CR169" s="142"/>
      <c r="CS169" s="142"/>
      <c r="CT169" s="142"/>
      <c r="CU169" s="142"/>
      <c r="CV169" s="142"/>
      <c r="CW169" s="142"/>
      <c r="CX169" s="142"/>
      <c r="CY169" s="142"/>
      <c r="CZ169" s="142"/>
      <c r="DA169" s="142"/>
      <c r="DB169" s="142"/>
      <c r="DC169" s="142"/>
      <c r="DD169" s="142"/>
      <c r="DE169" s="142"/>
      <c r="DF169" s="142"/>
      <c r="DG169" s="142"/>
      <c r="DH169" s="142"/>
      <c r="DI169" s="142"/>
      <c r="DJ169" s="142"/>
      <c r="DK169" s="142"/>
      <c r="DL169" s="142"/>
      <c r="DM169" s="142"/>
      <c r="DN169" s="142"/>
      <c r="DO169" s="142"/>
      <c r="DP169" s="142"/>
      <c r="DQ169" s="142"/>
      <c r="DR169" s="142"/>
      <c r="DS169" s="142"/>
      <c r="DT169" s="142"/>
      <c r="DU169" s="142"/>
      <c r="DV169" s="142"/>
      <c r="DW169" s="142"/>
      <c r="DX169" s="142"/>
      <c r="DY169" s="142"/>
      <c r="DZ169" s="142"/>
      <c r="EA169" s="142"/>
      <c r="EB169" s="142"/>
      <c r="EC169" s="142"/>
      <c r="ED169" s="142"/>
      <c r="EE169" s="142"/>
      <c r="EF169" s="142"/>
      <c r="EG169" s="142"/>
      <c r="EH169" s="142"/>
      <c r="EI169" s="142"/>
      <c r="EJ169" s="142"/>
      <c r="EK169" s="142"/>
      <c r="EL169" s="142"/>
      <c r="EM169" s="142"/>
      <c r="EN169" s="142"/>
      <c r="EO169" s="142"/>
      <c r="EP169" s="142"/>
      <c r="EQ169" s="142"/>
      <c r="ER169" s="142"/>
      <c r="ES169" s="142"/>
      <c r="ET169" s="142"/>
      <c r="EU169" s="142"/>
      <c r="EV169" s="142"/>
      <c r="EW169" s="142"/>
      <c r="EX169" s="142"/>
      <c r="EY169" s="142"/>
      <c r="EZ169" s="142"/>
      <c r="FA169" s="142"/>
      <c r="FB169" s="142"/>
      <c r="FC169" s="142"/>
    </row>
    <row r="170" spans="31:159" s="93" customFormat="1">
      <c r="AE170" s="125"/>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c r="CN170" s="142"/>
      <c r="CO170" s="142"/>
      <c r="CP170" s="142"/>
      <c r="CQ170" s="142"/>
      <c r="CR170" s="142"/>
      <c r="CS170" s="142"/>
      <c r="CT170" s="142"/>
      <c r="CU170" s="142"/>
      <c r="CV170" s="142"/>
      <c r="CW170" s="142"/>
      <c r="CX170" s="142"/>
      <c r="CY170" s="142"/>
      <c r="CZ170" s="142"/>
      <c r="DA170" s="142"/>
      <c r="DB170" s="142"/>
      <c r="DC170" s="142"/>
      <c r="DD170" s="142"/>
      <c r="DE170" s="142"/>
      <c r="DF170" s="142"/>
      <c r="DG170" s="142"/>
      <c r="DH170" s="142"/>
      <c r="DI170" s="142"/>
      <c r="DJ170" s="142"/>
      <c r="DK170" s="142"/>
      <c r="DL170" s="142"/>
      <c r="DM170" s="142"/>
      <c r="DN170" s="142"/>
      <c r="DO170" s="142"/>
      <c r="DP170" s="142"/>
      <c r="DQ170" s="142"/>
      <c r="DR170" s="142"/>
      <c r="DS170" s="142"/>
      <c r="DT170" s="142"/>
      <c r="DU170" s="142"/>
      <c r="DV170" s="142"/>
      <c r="DW170" s="142"/>
      <c r="DX170" s="142"/>
      <c r="DY170" s="142"/>
      <c r="DZ170" s="142"/>
      <c r="EA170" s="142"/>
      <c r="EB170" s="142"/>
      <c r="EC170" s="142"/>
      <c r="ED170" s="142"/>
      <c r="EE170" s="142"/>
      <c r="EF170" s="142"/>
      <c r="EG170" s="142"/>
      <c r="EH170" s="142"/>
      <c r="EI170" s="142"/>
      <c r="EJ170" s="142"/>
      <c r="EK170" s="142"/>
      <c r="EL170" s="142"/>
      <c r="EM170" s="142"/>
      <c r="EN170" s="142"/>
      <c r="EO170" s="142"/>
      <c r="EP170" s="142"/>
      <c r="EQ170" s="142"/>
      <c r="ER170" s="142"/>
      <c r="ES170" s="142"/>
      <c r="ET170" s="142"/>
      <c r="EU170" s="142"/>
      <c r="EV170" s="142"/>
      <c r="EW170" s="142"/>
      <c r="EX170" s="142"/>
      <c r="EY170" s="142"/>
      <c r="EZ170" s="142"/>
      <c r="FA170" s="142"/>
      <c r="FB170" s="142"/>
      <c r="FC170" s="142"/>
    </row>
    <row r="171" spans="31:159" s="93" customFormat="1">
      <c r="AE171" s="125"/>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c r="CN171" s="142"/>
      <c r="CO171" s="142"/>
      <c r="CP171" s="142"/>
      <c r="CQ171" s="142"/>
      <c r="CR171" s="142"/>
      <c r="CS171" s="142"/>
      <c r="CT171" s="142"/>
      <c r="CU171" s="142"/>
      <c r="CV171" s="142"/>
      <c r="CW171" s="142"/>
      <c r="CX171" s="142"/>
      <c r="CY171" s="142"/>
      <c r="CZ171" s="142"/>
      <c r="DA171" s="142"/>
      <c r="DB171" s="142"/>
      <c r="DC171" s="142"/>
      <c r="DD171" s="142"/>
      <c r="DE171" s="142"/>
      <c r="DF171" s="142"/>
      <c r="DG171" s="142"/>
      <c r="DH171" s="142"/>
      <c r="DI171" s="142"/>
      <c r="DJ171" s="142"/>
      <c r="DK171" s="142"/>
      <c r="DL171" s="142"/>
      <c r="DM171" s="142"/>
      <c r="DN171" s="142"/>
      <c r="DO171" s="142"/>
      <c r="DP171" s="142"/>
      <c r="DQ171" s="142"/>
      <c r="DR171" s="142"/>
      <c r="DS171" s="142"/>
      <c r="DT171" s="142"/>
      <c r="DU171" s="142"/>
      <c r="DV171" s="142"/>
      <c r="DW171" s="142"/>
      <c r="DX171" s="142"/>
      <c r="DY171" s="142"/>
      <c r="DZ171" s="142"/>
      <c r="EA171" s="142"/>
      <c r="EB171" s="142"/>
      <c r="EC171" s="142"/>
      <c r="ED171" s="142"/>
      <c r="EE171" s="142"/>
      <c r="EF171" s="142"/>
      <c r="EG171" s="142"/>
      <c r="EH171" s="142"/>
      <c r="EI171" s="142"/>
      <c r="EJ171" s="142"/>
      <c r="EK171" s="142"/>
      <c r="EL171" s="142"/>
      <c r="EM171" s="142"/>
      <c r="EN171" s="142"/>
      <c r="EO171" s="142"/>
      <c r="EP171" s="142"/>
      <c r="EQ171" s="142"/>
      <c r="ER171" s="142"/>
      <c r="ES171" s="142"/>
      <c r="ET171" s="142"/>
      <c r="EU171" s="142"/>
      <c r="EV171" s="142"/>
      <c r="EW171" s="142"/>
      <c r="EX171" s="142"/>
      <c r="EY171" s="142"/>
      <c r="EZ171" s="142"/>
      <c r="FA171" s="142"/>
      <c r="FB171" s="142"/>
      <c r="FC171" s="142"/>
    </row>
    <row r="172" spans="31:159" s="93" customFormat="1">
      <c r="AE172" s="125"/>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c r="CN172" s="142"/>
      <c r="CO172" s="142"/>
      <c r="CP172" s="142"/>
      <c r="CQ172" s="142"/>
      <c r="CR172" s="142"/>
      <c r="CS172" s="142"/>
      <c r="CT172" s="142"/>
      <c r="CU172" s="142"/>
      <c r="CV172" s="142"/>
      <c r="CW172" s="142"/>
      <c r="CX172" s="142"/>
      <c r="CY172" s="142"/>
      <c r="CZ172" s="142"/>
      <c r="DA172" s="142"/>
      <c r="DB172" s="142"/>
      <c r="DC172" s="142"/>
      <c r="DD172" s="142"/>
      <c r="DE172" s="142"/>
      <c r="DF172" s="142"/>
      <c r="DG172" s="142"/>
      <c r="DH172" s="142"/>
      <c r="DI172" s="142"/>
      <c r="DJ172" s="142"/>
      <c r="DK172" s="142"/>
      <c r="DL172" s="142"/>
      <c r="DM172" s="142"/>
      <c r="DN172" s="142"/>
      <c r="DO172" s="142"/>
      <c r="DP172" s="142"/>
      <c r="DQ172" s="142"/>
      <c r="DR172" s="142"/>
      <c r="DS172" s="142"/>
      <c r="DT172" s="142"/>
      <c r="DU172" s="142"/>
      <c r="DV172" s="142"/>
      <c r="DW172" s="142"/>
      <c r="DX172" s="142"/>
      <c r="DY172" s="142"/>
      <c r="DZ172" s="142"/>
      <c r="EA172" s="142"/>
      <c r="EB172" s="142"/>
      <c r="EC172" s="142"/>
      <c r="ED172" s="142"/>
      <c r="EE172" s="142"/>
      <c r="EF172" s="142"/>
      <c r="EG172" s="142"/>
      <c r="EH172" s="142"/>
      <c r="EI172" s="142"/>
      <c r="EJ172" s="142"/>
      <c r="EK172" s="142"/>
      <c r="EL172" s="142"/>
      <c r="EM172" s="142"/>
      <c r="EN172" s="142"/>
      <c r="EO172" s="142"/>
      <c r="EP172" s="142"/>
      <c r="EQ172" s="142"/>
      <c r="ER172" s="142"/>
      <c r="ES172" s="142"/>
      <c r="ET172" s="142"/>
      <c r="EU172" s="142"/>
      <c r="EV172" s="142"/>
      <c r="EW172" s="142"/>
      <c r="EX172" s="142"/>
      <c r="EY172" s="142"/>
      <c r="EZ172" s="142"/>
      <c r="FA172" s="142"/>
      <c r="FB172" s="142"/>
      <c r="FC172" s="142"/>
    </row>
    <row r="173" spans="31:159" s="93" customFormat="1">
      <c r="AE173" s="125"/>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c r="CN173" s="142"/>
      <c r="CO173" s="142"/>
      <c r="CP173" s="142"/>
      <c r="CQ173" s="142"/>
      <c r="CR173" s="142"/>
      <c r="CS173" s="142"/>
      <c r="CT173" s="142"/>
      <c r="CU173" s="142"/>
      <c r="CV173" s="142"/>
      <c r="CW173" s="142"/>
      <c r="CX173" s="142"/>
      <c r="CY173" s="142"/>
      <c r="CZ173" s="142"/>
      <c r="DA173" s="142"/>
      <c r="DB173" s="142"/>
      <c r="DC173" s="142"/>
      <c r="DD173" s="142"/>
      <c r="DE173" s="142"/>
      <c r="DF173" s="142"/>
      <c r="DG173" s="142"/>
      <c r="DH173" s="142"/>
      <c r="DI173" s="142"/>
      <c r="DJ173" s="142"/>
      <c r="DK173" s="142"/>
      <c r="DL173" s="142"/>
      <c r="DM173" s="142"/>
      <c r="DN173" s="142"/>
      <c r="DO173" s="142"/>
      <c r="DP173" s="142"/>
      <c r="DQ173" s="142"/>
      <c r="DR173" s="142"/>
      <c r="DS173" s="142"/>
      <c r="DT173" s="142"/>
      <c r="DU173" s="142"/>
      <c r="DV173" s="142"/>
      <c r="DW173" s="142"/>
      <c r="DX173" s="142"/>
      <c r="DY173" s="142"/>
      <c r="DZ173" s="142"/>
      <c r="EA173" s="142"/>
      <c r="EB173" s="142"/>
      <c r="EC173" s="142"/>
      <c r="ED173" s="142"/>
      <c r="EE173" s="142"/>
      <c r="EF173" s="142"/>
      <c r="EG173" s="142"/>
      <c r="EH173" s="142"/>
      <c r="EI173" s="142"/>
      <c r="EJ173" s="142"/>
      <c r="EK173" s="142"/>
      <c r="EL173" s="142"/>
      <c r="EM173" s="142"/>
      <c r="EN173" s="142"/>
      <c r="EO173" s="142"/>
      <c r="EP173" s="142"/>
      <c r="EQ173" s="142"/>
      <c r="ER173" s="142"/>
      <c r="ES173" s="142"/>
      <c r="ET173" s="142"/>
      <c r="EU173" s="142"/>
      <c r="EV173" s="142"/>
      <c r="EW173" s="142"/>
      <c r="EX173" s="142"/>
      <c r="EY173" s="142"/>
      <c r="EZ173" s="142"/>
      <c r="FA173" s="142"/>
      <c r="FB173" s="142"/>
      <c r="FC173" s="142"/>
    </row>
    <row r="174" spans="31:159" s="93" customFormat="1">
      <c r="AE174" s="125"/>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c r="CN174" s="142"/>
      <c r="CO174" s="142"/>
      <c r="CP174" s="142"/>
      <c r="CQ174" s="142"/>
      <c r="CR174" s="142"/>
      <c r="CS174" s="142"/>
      <c r="CT174" s="142"/>
      <c r="CU174" s="142"/>
      <c r="CV174" s="142"/>
      <c r="CW174" s="142"/>
      <c r="CX174" s="142"/>
      <c r="CY174" s="142"/>
      <c r="CZ174" s="142"/>
      <c r="DA174" s="142"/>
      <c r="DB174" s="142"/>
      <c r="DC174" s="142"/>
      <c r="DD174" s="142"/>
      <c r="DE174" s="142"/>
      <c r="DF174" s="142"/>
      <c r="DG174" s="142"/>
      <c r="DH174" s="142"/>
      <c r="DI174" s="142"/>
      <c r="DJ174" s="142"/>
      <c r="DK174" s="142"/>
      <c r="DL174" s="142"/>
      <c r="DM174" s="142"/>
      <c r="DN174" s="142"/>
      <c r="DO174" s="142"/>
      <c r="DP174" s="142"/>
      <c r="DQ174" s="142"/>
      <c r="DR174" s="142"/>
      <c r="DS174" s="142"/>
      <c r="DT174" s="142"/>
      <c r="DU174" s="142"/>
      <c r="DV174" s="142"/>
      <c r="DW174" s="142"/>
      <c r="DX174" s="142"/>
      <c r="DY174" s="142"/>
      <c r="DZ174" s="142"/>
      <c r="EA174" s="142"/>
      <c r="EB174" s="142"/>
      <c r="EC174" s="142"/>
      <c r="ED174" s="142"/>
      <c r="EE174" s="142"/>
      <c r="EF174" s="142"/>
      <c r="EG174" s="142"/>
      <c r="EH174" s="142"/>
      <c r="EI174" s="142"/>
      <c r="EJ174" s="142"/>
      <c r="EK174" s="142"/>
      <c r="EL174" s="142"/>
      <c r="EM174" s="142"/>
      <c r="EN174" s="142"/>
      <c r="EO174" s="142"/>
      <c r="EP174" s="142"/>
      <c r="EQ174" s="142"/>
      <c r="ER174" s="142"/>
      <c r="ES174" s="142"/>
      <c r="ET174" s="142"/>
      <c r="EU174" s="142"/>
      <c r="EV174" s="142"/>
      <c r="EW174" s="142"/>
      <c r="EX174" s="142"/>
      <c r="EY174" s="142"/>
      <c r="EZ174" s="142"/>
      <c r="FA174" s="142"/>
      <c r="FB174" s="142"/>
      <c r="FC174" s="142"/>
    </row>
    <row r="175" spans="31:159" s="93" customFormat="1">
      <c r="AE175" s="125"/>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c r="CN175" s="142"/>
      <c r="CO175" s="142"/>
      <c r="CP175" s="142"/>
      <c r="CQ175" s="142"/>
      <c r="CR175" s="142"/>
      <c r="CS175" s="142"/>
      <c r="CT175" s="142"/>
      <c r="CU175" s="142"/>
      <c r="CV175" s="142"/>
      <c r="CW175" s="142"/>
      <c r="CX175" s="142"/>
      <c r="CY175" s="142"/>
      <c r="CZ175" s="142"/>
      <c r="DA175" s="142"/>
      <c r="DB175" s="142"/>
      <c r="DC175" s="142"/>
      <c r="DD175" s="142"/>
      <c r="DE175" s="142"/>
      <c r="DF175" s="142"/>
      <c r="DG175" s="142"/>
      <c r="DH175" s="142"/>
      <c r="DI175" s="142"/>
      <c r="DJ175" s="142"/>
      <c r="DK175" s="142"/>
      <c r="DL175" s="142"/>
      <c r="DM175" s="142"/>
      <c r="DN175" s="142"/>
      <c r="DO175" s="142"/>
      <c r="DP175" s="142"/>
      <c r="DQ175" s="142"/>
      <c r="DR175" s="142"/>
      <c r="DS175" s="142"/>
      <c r="DT175" s="142"/>
      <c r="DU175" s="142"/>
      <c r="DV175" s="142"/>
      <c r="DW175" s="142"/>
      <c r="DX175" s="142"/>
      <c r="DY175" s="142"/>
      <c r="DZ175" s="142"/>
      <c r="EA175" s="142"/>
      <c r="EB175" s="142"/>
      <c r="EC175" s="142"/>
      <c r="ED175" s="142"/>
      <c r="EE175" s="142"/>
      <c r="EF175" s="142"/>
      <c r="EG175" s="142"/>
      <c r="EH175" s="142"/>
      <c r="EI175" s="142"/>
      <c r="EJ175" s="142"/>
      <c r="EK175" s="142"/>
      <c r="EL175" s="142"/>
      <c r="EM175" s="142"/>
      <c r="EN175" s="142"/>
      <c r="EO175" s="142"/>
      <c r="EP175" s="142"/>
      <c r="EQ175" s="142"/>
      <c r="ER175" s="142"/>
      <c r="ES175" s="142"/>
      <c r="ET175" s="142"/>
      <c r="EU175" s="142"/>
      <c r="EV175" s="142"/>
      <c r="EW175" s="142"/>
      <c r="EX175" s="142"/>
      <c r="EY175" s="142"/>
      <c r="EZ175" s="142"/>
      <c r="FA175" s="142"/>
      <c r="FB175" s="142"/>
      <c r="FC175" s="142"/>
    </row>
    <row r="176" spans="31:159" s="93" customFormat="1">
      <c r="AE176" s="125"/>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c r="CN176" s="142"/>
      <c r="CO176" s="142"/>
      <c r="CP176" s="142"/>
      <c r="CQ176" s="142"/>
      <c r="CR176" s="142"/>
      <c r="CS176" s="142"/>
      <c r="CT176" s="142"/>
      <c r="CU176" s="142"/>
      <c r="CV176" s="142"/>
      <c r="CW176" s="142"/>
      <c r="CX176" s="142"/>
      <c r="CY176" s="142"/>
      <c r="CZ176" s="142"/>
      <c r="DA176" s="142"/>
      <c r="DB176" s="142"/>
      <c r="DC176" s="142"/>
      <c r="DD176" s="142"/>
      <c r="DE176" s="142"/>
      <c r="DF176" s="142"/>
      <c r="DG176" s="142"/>
      <c r="DH176" s="142"/>
      <c r="DI176" s="142"/>
      <c r="DJ176" s="142"/>
      <c r="DK176" s="142"/>
      <c r="DL176" s="142"/>
      <c r="DM176" s="142"/>
      <c r="DN176" s="142"/>
      <c r="DO176" s="142"/>
      <c r="DP176" s="142"/>
      <c r="DQ176" s="142"/>
      <c r="DR176" s="142"/>
      <c r="DS176" s="142"/>
      <c r="DT176" s="142"/>
      <c r="DU176" s="142"/>
      <c r="DV176" s="142"/>
      <c r="DW176" s="142"/>
      <c r="DX176" s="142"/>
      <c r="DY176" s="142"/>
      <c r="DZ176" s="142"/>
      <c r="EA176" s="142"/>
      <c r="EB176" s="142"/>
      <c r="EC176" s="142"/>
      <c r="ED176" s="142"/>
      <c r="EE176" s="142"/>
      <c r="EF176" s="142"/>
      <c r="EG176" s="142"/>
      <c r="EH176" s="142"/>
      <c r="EI176" s="142"/>
      <c r="EJ176" s="142"/>
      <c r="EK176" s="142"/>
      <c r="EL176" s="142"/>
      <c r="EM176" s="142"/>
      <c r="EN176" s="142"/>
      <c r="EO176" s="142"/>
      <c r="EP176" s="142"/>
      <c r="EQ176" s="142"/>
      <c r="ER176" s="142"/>
      <c r="ES176" s="142"/>
      <c r="ET176" s="142"/>
      <c r="EU176" s="142"/>
      <c r="EV176" s="142"/>
      <c r="EW176" s="142"/>
      <c r="EX176" s="142"/>
      <c r="EY176" s="142"/>
      <c r="EZ176" s="142"/>
      <c r="FA176" s="142"/>
      <c r="FB176" s="142"/>
      <c r="FC176" s="142"/>
    </row>
    <row r="177" spans="31:159" s="93" customFormat="1">
      <c r="AE177" s="125"/>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c r="CN177" s="142"/>
      <c r="CO177" s="142"/>
      <c r="CP177" s="142"/>
      <c r="CQ177" s="142"/>
      <c r="CR177" s="142"/>
      <c r="CS177" s="142"/>
      <c r="CT177" s="142"/>
      <c r="CU177" s="142"/>
      <c r="CV177" s="142"/>
      <c r="CW177" s="142"/>
      <c r="CX177" s="142"/>
      <c r="CY177" s="142"/>
      <c r="CZ177" s="142"/>
      <c r="DA177" s="142"/>
      <c r="DB177" s="142"/>
      <c r="DC177" s="142"/>
      <c r="DD177" s="142"/>
      <c r="DE177" s="142"/>
      <c r="DF177" s="142"/>
      <c r="DG177" s="142"/>
      <c r="DH177" s="142"/>
      <c r="DI177" s="142"/>
      <c r="DJ177" s="142"/>
      <c r="DK177" s="142"/>
      <c r="DL177" s="142"/>
      <c r="DM177" s="142"/>
      <c r="DN177" s="142"/>
      <c r="DO177" s="142"/>
      <c r="DP177" s="142"/>
      <c r="DQ177" s="142"/>
      <c r="DR177" s="142"/>
      <c r="DS177" s="142"/>
      <c r="DT177" s="142"/>
      <c r="DU177" s="142"/>
      <c r="DV177" s="142"/>
      <c r="DW177" s="142"/>
      <c r="DX177" s="142"/>
      <c r="DY177" s="142"/>
      <c r="DZ177" s="142"/>
      <c r="EA177" s="142"/>
      <c r="EB177" s="142"/>
      <c r="EC177" s="142"/>
      <c r="ED177" s="142"/>
      <c r="EE177" s="142"/>
      <c r="EF177" s="142"/>
      <c r="EG177" s="142"/>
      <c r="EH177" s="142"/>
      <c r="EI177" s="142"/>
      <c r="EJ177" s="142"/>
      <c r="EK177" s="142"/>
      <c r="EL177" s="142"/>
      <c r="EM177" s="142"/>
      <c r="EN177" s="142"/>
      <c r="EO177" s="142"/>
      <c r="EP177" s="142"/>
      <c r="EQ177" s="142"/>
      <c r="ER177" s="142"/>
      <c r="ES177" s="142"/>
      <c r="ET177" s="142"/>
      <c r="EU177" s="142"/>
      <c r="EV177" s="142"/>
      <c r="EW177" s="142"/>
      <c r="EX177" s="142"/>
      <c r="EY177" s="142"/>
      <c r="EZ177" s="142"/>
      <c r="FA177" s="142"/>
      <c r="FB177" s="142"/>
      <c r="FC177" s="142"/>
    </row>
    <row r="178" spans="31:159" s="93" customFormat="1">
      <c r="AE178" s="125"/>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c r="CN178" s="142"/>
      <c r="CO178" s="142"/>
      <c r="CP178" s="142"/>
      <c r="CQ178" s="142"/>
      <c r="CR178" s="142"/>
      <c r="CS178" s="142"/>
      <c r="CT178" s="142"/>
      <c r="CU178" s="142"/>
      <c r="CV178" s="142"/>
      <c r="CW178" s="142"/>
      <c r="CX178" s="142"/>
      <c r="CY178" s="142"/>
      <c r="CZ178" s="142"/>
      <c r="DA178" s="142"/>
      <c r="DB178" s="142"/>
      <c r="DC178" s="142"/>
      <c r="DD178" s="142"/>
      <c r="DE178" s="142"/>
      <c r="DF178" s="142"/>
      <c r="DG178" s="142"/>
      <c r="DH178" s="142"/>
      <c r="DI178" s="142"/>
      <c r="DJ178" s="142"/>
      <c r="DK178" s="142"/>
      <c r="DL178" s="142"/>
      <c r="DM178" s="142"/>
      <c r="DN178" s="142"/>
      <c r="DO178" s="142"/>
      <c r="DP178" s="142"/>
      <c r="DQ178" s="142"/>
      <c r="DR178" s="142"/>
      <c r="DS178" s="142"/>
      <c r="DT178" s="142"/>
      <c r="DU178" s="142"/>
      <c r="DV178" s="142"/>
      <c r="DW178" s="142"/>
      <c r="DX178" s="142"/>
      <c r="DY178" s="142"/>
      <c r="DZ178" s="142"/>
      <c r="EA178" s="142"/>
      <c r="EB178" s="142"/>
      <c r="EC178" s="142"/>
      <c r="ED178" s="142"/>
      <c r="EE178" s="142"/>
      <c r="EF178" s="142"/>
      <c r="EG178" s="142"/>
      <c r="EH178" s="142"/>
      <c r="EI178" s="142"/>
      <c r="EJ178" s="142"/>
      <c r="EK178" s="142"/>
      <c r="EL178" s="142"/>
      <c r="EM178" s="142"/>
      <c r="EN178" s="142"/>
      <c r="EO178" s="142"/>
      <c r="EP178" s="142"/>
      <c r="EQ178" s="142"/>
      <c r="ER178" s="142"/>
      <c r="ES178" s="142"/>
      <c r="ET178" s="142"/>
      <c r="EU178" s="142"/>
      <c r="EV178" s="142"/>
      <c r="EW178" s="142"/>
      <c r="EX178" s="142"/>
      <c r="EY178" s="142"/>
      <c r="EZ178" s="142"/>
      <c r="FA178" s="142"/>
      <c r="FB178" s="142"/>
      <c r="FC178" s="142"/>
    </row>
    <row r="179" spans="31:159" s="93" customFormat="1">
      <c r="AE179" s="125"/>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c r="CN179" s="142"/>
      <c r="CO179" s="142"/>
      <c r="CP179" s="142"/>
      <c r="CQ179" s="142"/>
      <c r="CR179" s="142"/>
      <c r="CS179" s="142"/>
      <c r="CT179" s="142"/>
      <c r="CU179" s="142"/>
      <c r="CV179" s="142"/>
      <c r="CW179" s="142"/>
      <c r="CX179" s="142"/>
      <c r="CY179" s="142"/>
      <c r="CZ179" s="142"/>
      <c r="DA179" s="142"/>
      <c r="DB179" s="142"/>
      <c r="DC179" s="142"/>
      <c r="DD179" s="142"/>
      <c r="DE179" s="142"/>
      <c r="DF179" s="142"/>
      <c r="DG179" s="142"/>
      <c r="DH179" s="142"/>
      <c r="DI179" s="142"/>
      <c r="DJ179" s="142"/>
      <c r="DK179" s="142"/>
      <c r="DL179" s="142"/>
      <c r="DM179" s="142"/>
      <c r="DN179" s="142"/>
      <c r="DO179" s="142"/>
      <c r="DP179" s="142"/>
      <c r="DQ179" s="142"/>
      <c r="DR179" s="142"/>
      <c r="DS179" s="142"/>
      <c r="DT179" s="142"/>
      <c r="DU179" s="142"/>
      <c r="DV179" s="142"/>
      <c r="DW179" s="142"/>
      <c r="DX179" s="142"/>
      <c r="DY179" s="142"/>
      <c r="DZ179" s="142"/>
      <c r="EA179" s="142"/>
      <c r="EB179" s="142"/>
      <c r="EC179" s="142"/>
      <c r="ED179" s="142"/>
      <c r="EE179" s="142"/>
      <c r="EF179" s="142"/>
      <c r="EG179" s="142"/>
      <c r="EH179" s="142"/>
      <c r="EI179" s="142"/>
      <c r="EJ179" s="142"/>
      <c r="EK179" s="142"/>
      <c r="EL179" s="142"/>
      <c r="EM179" s="142"/>
      <c r="EN179" s="142"/>
      <c r="EO179" s="142"/>
      <c r="EP179" s="142"/>
      <c r="EQ179" s="142"/>
      <c r="ER179" s="142"/>
      <c r="ES179" s="142"/>
      <c r="ET179" s="142"/>
      <c r="EU179" s="142"/>
      <c r="EV179" s="142"/>
      <c r="EW179" s="142"/>
      <c r="EX179" s="142"/>
      <c r="EY179" s="142"/>
      <c r="EZ179" s="142"/>
      <c r="FA179" s="142"/>
      <c r="FB179" s="142"/>
      <c r="FC179" s="142"/>
    </row>
    <row r="180" spans="31:159" s="93" customFormat="1">
      <c r="AE180" s="125"/>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c r="CN180" s="142"/>
      <c r="CO180" s="142"/>
      <c r="CP180" s="142"/>
      <c r="CQ180" s="142"/>
      <c r="CR180" s="142"/>
      <c r="CS180" s="142"/>
      <c r="CT180" s="142"/>
      <c r="CU180" s="142"/>
      <c r="CV180" s="142"/>
      <c r="CW180" s="142"/>
      <c r="CX180" s="142"/>
      <c r="CY180" s="142"/>
      <c r="CZ180" s="142"/>
      <c r="DA180" s="142"/>
      <c r="DB180" s="142"/>
      <c r="DC180" s="142"/>
      <c r="DD180" s="142"/>
      <c r="DE180" s="142"/>
      <c r="DF180" s="142"/>
      <c r="DG180" s="142"/>
      <c r="DH180" s="142"/>
      <c r="DI180" s="142"/>
      <c r="DJ180" s="142"/>
      <c r="DK180" s="142"/>
      <c r="DL180" s="142"/>
      <c r="DM180" s="142"/>
      <c r="DN180" s="142"/>
      <c r="DO180" s="142"/>
      <c r="DP180" s="142"/>
      <c r="DQ180" s="142"/>
      <c r="DR180" s="142"/>
      <c r="DS180" s="142"/>
      <c r="DT180" s="142"/>
      <c r="DU180" s="142"/>
      <c r="DV180" s="142"/>
      <c r="DW180" s="142"/>
      <c r="DX180" s="142"/>
      <c r="DY180" s="142"/>
      <c r="DZ180" s="142"/>
      <c r="EA180" s="142"/>
      <c r="EB180" s="142"/>
      <c r="EC180" s="142"/>
      <c r="ED180" s="142"/>
      <c r="EE180" s="142"/>
      <c r="EF180" s="142"/>
      <c r="EG180" s="142"/>
      <c r="EH180" s="142"/>
      <c r="EI180" s="142"/>
      <c r="EJ180" s="142"/>
      <c r="EK180" s="142"/>
      <c r="EL180" s="142"/>
      <c r="EM180" s="142"/>
      <c r="EN180" s="142"/>
      <c r="EO180" s="142"/>
      <c r="EP180" s="142"/>
      <c r="EQ180" s="142"/>
      <c r="ER180" s="142"/>
      <c r="ES180" s="142"/>
      <c r="ET180" s="142"/>
      <c r="EU180" s="142"/>
      <c r="EV180" s="142"/>
      <c r="EW180" s="142"/>
      <c r="EX180" s="142"/>
      <c r="EY180" s="142"/>
      <c r="EZ180" s="142"/>
      <c r="FA180" s="142"/>
      <c r="FB180" s="142"/>
      <c r="FC180" s="142"/>
    </row>
    <row r="181" spans="31:159" s="93" customFormat="1">
      <c r="AE181" s="125"/>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c r="CN181" s="142"/>
      <c r="CO181" s="142"/>
      <c r="CP181" s="142"/>
      <c r="CQ181" s="142"/>
      <c r="CR181" s="142"/>
      <c r="CS181" s="142"/>
      <c r="CT181" s="142"/>
      <c r="CU181" s="142"/>
      <c r="CV181" s="142"/>
      <c r="CW181" s="142"/>
      <c r="CX181" s="142"/>
      <c r="CY181" s="142"/>
      <c r="CZ181" s="142"/>
      <c r="DA181" s="142"/>
      <c r="DB181" s="142"/>
      <c r="DC181" s="142"/>
      <c r="DD181" s="142"/>
      <c r="DE181" s="142"/>
      <c r="DF181" s="142"/>
      <c r="DG181" s="142"/>
      <c r="DH181" s="142"/>
      <c r="DI181" s="142"/>
      <c r="DJ181" s="142"/>
      <c r="DK181" s="142"/>
      <c r="DL181" s="142"/>
      <c r="DM181" s="142"/>
      <c r="DN181" s="142"/>
      <c r="DO181" s="142"/>
      <c r="DP181" s="142"/>
      <c r="DQ181" s="142"/>
      <c r="DR181" s="142"/>
      <c r="DS181" s="142"/>
      <c r="DT181" s="142"/>
      <c r="DU181" s="142"/>
      <c r="DV181" s="142"/>
      <c r="DW181" s="142"/>
      <c r="DX181" s="142"/>
      <c r="DY181" s="142"/>
      <c r="DZ181" s="142"/>
      <c r="EA181" s="142"/>
      <c r="EB181" s="142"/>
      <c r="EC181" s="142"/>
      <c r="ED181" s="142"/>
      <c r="EE181" s="142"/>
      <c r="EF181" s="142"/>
      <c r="EG181" s="142"/>
      <c r="EH181" s="142"/>
      <c r="EI181" s="142"/>
      <c r="EJ181" s="142"/>
      <c r="EK181" s="142"/>
      <c r="EL181" s="142"/>
      <c r="EM181" s="142"/>
      <c r="EN181" s="142"/>
      <c r="EO181" s="142"/>
      <c r="EP181" s="142"/>
      <c r="EQ181" s="142"/>
      <c r="ER181" s="142"/>
      <c r="ES181" s="142"/>
      <c r="ET181" s="142"/>
      <c r="EU181" s="142"/>
      <c r="EV181" s="142"/>
      <c r="EW181" s="142"/>
      <c r="EX181" s="142"/>
      <c r="EY181" s="142"/>
      <c r="EZ181" s="142"/>
      <c r="FA181" s="142"/>
      <c r="FB181" s="142"/>
      <c r="FC181" s="142"/>
    </row>
    <row r="182" spans="31:159" s="93" customFormat="1">
      <c r="AE182" s="125"/>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c r="CN182" s="142"/>
      <c r="CO182" s="142"/>
      <c r="CP182" s="142"/>
      <c r="CQ182" s="142"/>
      <c r="CR182" s="142"/>
      <c r="CS182" s="142"/>
      <c r="CT182" s="142"/>
      <c r="CU182" s="142"/>
      <c r="CV182" s="142"/>
      <c r="CW182" s="142"/>
      <c r="CX182" s="142"/>
      <c r="CY182" s="142"/>
      <c r="CZ182" s="142"/>
      <c r="DA182" s="142"/>
      <c r="DB182" s="142"/>
      <c r="DC182" s="142"/>
      <c r="DD182" s="142"/>
      <c r="DE182" s="142"/>
      <c r="DF182" s="142"/>
      <c r="DG182" s="142"/>
      <c r="DH182" s="142"/>
      <c r="DI182" s="142"/>
      <c r="DJ182" s="142"/>
      <c r="DK182" s="142"/>
      <c r="DL182" s="142"/>
      <c r="DM182" s="142"/>
      <c r="DN182" s="142"/>
      <c r="DO182" s="142"/>
      <c r="DP182" s="142"/>
      <c r="DQ182" s="142"/>
      <c r="DR182" s="142"/>
      <c r="DS182" s="142"/>
      <c r="DT182" s="142"/>
      <c r="DU182" s="142"/>
      <c r="DV182" s="142"/>
      <c r="DW182" s="142"/>
      <c r="DX182" s="142"/>
      <c r="DY182" s="142"/>
      <c r="DZ182" s="142"/>
      <c r="EA182" s="142"/>
      <c r="EB182" s="142"/>
      <c r="EC182" s="142"/>
      <c r="ED182" s="142"/>
      <c r="EE182" s="142"/>
      <c r="EF182" s="142"/>
      <c r="EG182" s="142"/>
      <c r="EH182" s="142"/>
      <c r="EI182" s="142"/>
      <c r="EJ182" s="142"/>
      <c r="EK182" s="142"/>
      <c r="EL182" s="142"/>
      <c r="EM182" s="142"/>
      <c r="EN182" s="142"/>
      <c r="EO182" s="142"/>
      <c r="EP182" s="142"/>
      <c r="EQ182" s="142"/>
      <c r="ER182" s="142"/>
      <c r="ES182" s="142"/>
      <c r="ET182" s="142"/>
      <c r="EU182" s="142"/>
      <c r="EV182" s="142"/>
      <c r="EW182" s="142"/>
      <c r="EX182" s="142"/>
      <c r="EY182" s="142"/>
      <c r="EZ182" s="142"/>
      <c r="FA182" s="142"/>
      <c r="FB182" s="142"/>
      <c r="FC182" s="142"/>
    </row>
    <row r="183" spans="31:159" s="93" customFormat="1">
      <c r="AE183" s="125"/>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c r="CN183" s="142"/>
      <c r="CO183" s="142"/>
      <c r="CP183" s="142"/>
      <c r="CQ183" s="142"/>
      <c r="CR183" s="142"/>
      <c r="CS183" s="142"/>
      <c r="CT183" s="142"/>
      <c r="CU183" s="142"/>
      <c r="CV183" s="142"/>
      <c r="CW183" s="142"/>
      <c r="CX183" s="142"/>
      <c r="CY183" s="142"/>
      <c r="CZ183" s="142"/>
      <c r="DA183" s="142"/>
      <c r="DB183" s="142"/>
      <c r="DC183" s="142"/>
      <c r="DD183" s="142"/>
      <c r="DE183" s="142"/>
      <c r="DF183" s="142"/>
      <c r="DG183" s="142"/>
      <c r="DH183" s="142"/>
      <c r="DI183" s="142"/>
      <c r="DJ183" s="142"/>
      <c r="DK183" s="142"/>
      <c r="DL183" s="142"/>
      <c r="DM183" s="142"/>
      <c r="DN183" s="142"/>
      <c r="DO183" s="142"/>
      <c r="DP183" s="142"/>
      <c r="DQ183" s="142"/>
      <c r="DR183" s="142"/>
      <c r="DS183" s="142"/>
      <c r="DT183" s="142"/>
      <c r="DU183" s="142"/>
      <c r="DV183" s="142"/>
      <c r="DW183" s="142"/>
      <c r="DX183" s="142"/>
      <c r="DY183" s="142"/>
      <c r="DZ183" s="142"/>
      <c r="EA183" s="142"/>
      <c r="EB183" s="142"/>
      <c r="EC183" s="142"/>
      <c r="ED183" s="142"/>
      <c r="EE183" s="142"/>
      <c r="EF183" s="142"/>
      <c r="EG183" s="142"/>
      <c r="EH183" s="142"/>
      <c r="EI183" s="142"/>
      <c r="EJ183" s="142"/>
      <c r="EK183" s="142"/>
      <c r="EL183" s="142"/>
      <c r="EM183" s="142"/>
      <c r="EN183" s="142"/>
      <c r="EO183" s="142"/>
      <c r="EP183" s="142"/>
      <c r="EQ183" s="142"/>
      <c r="ER183" s="142"/>
      <c r="ES183" s="142"/>
      <c r="ET183" s="142"/>
      <c r="EU183" s="142"/>
      <c r="EV183" s="142"/>
      <c r="EW183" s="142"/>
      <c r="EX183" s="142"/>
      <c r="EY183" s="142"/>
      <c r="EZ183" s="142"/>
      <c r="FA183" s="142"/>
      <c r="FB183" s="142"/>
      <c r="FC183" s="142"/>
    </row>
    <row r="184" spans="31:159" s="93" customFormat="1">
      <c r="AE184" s="125"/>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c r="CN184" s="142"/>
      <c r="CO184" s="142"/>
      <c r="CP184" s="142"/>
      <c r="CQ184" s="142"/>
      <c r="CR184" s="142"/>
      <c r="CS184" s="142"/>
      <c r="CT184" s="142"/>
      <c r="CU184" s="142"/>
      <c r="CV184" s="142"/>
      <c r="CW184" s="142"/>
      <c r="CX184" s="142"/>
      <c r="CY184" s="142"/>
      <c r="CZ184" s="142"/>
      <c r="DA184" s="142"/>
      <c r="DB184" s="142"/>
      <c r="DC184" s="142"/>
      <c r="DD184" s="142"/>
      <c r="DE184" s="142"/>
      <c r="DF184" s="142"/>
      <c r="DG184" s="142"/>
      <c r="DH184" s="142"/>
      <c r="DI184" s="142"/>
      <c r="DJ184" s="142"/>
      <c r="DK184" s="142"/>
      <c r="DL184" s="142"/>
      <c r="DM184" s="142"/>
      <c r="DN184" s="142"/>
      <c r="DO184" s="142"/>
      <c r="DP184" s="142"/>
      <c r="DQ184" s="142"/>
      <c r="DR184" s="142"/>
      <c r="DS184" s="142"/>
      <c r="DT184" s="142"/>
      <c r="DU184" s="142"/>
      <c r="DV184" s="142"/>
      <c r="DW184" s="142"/>
      <c r="DX184" s="142"/>
      <c r="DY184" s="142"/>
      <c r="DZ184" s="142"/>
      <c r="EA184" s="142"/>
      <c r="EB184" s="142"/>
      <c r="EC184" s="142"/>
      <c r="ED184" s="142"/>
      <c r="EE184" s="142"/>
      <c r="EF184" s="142"/>
      <c r="EG184" s="142"/>
      <c r="EH184" s="142"/>
      <c r="EI184" s="142"/>
      <c r="EJ184" s="142"/>
      <c r="EK184" s="142"/>
      <c r="EL184" s="142"/>
      <c r="EM184" s="142"/>
      <c r="EN184" s="142"/>
      <c r="EO184" s="142"/>
      <c r="EP184" s="142"/>
      <c r="EQ184" s="142"/>
      <c r="ER184" s="142"/>
      <c r="ES184" s="142"/>
      <c r="ET184" s="142"/>
      <c r="EU184" s="142"/>
      <c r="EV184" s="142"/>
      <c r="EW184" s="142"/>
      <c r="EX184" s="142"/>
      <c r="EY184" s="142"/>
      <c r="EZ184" s="142"/>
      <c r="FA184" s="142"/>
      <c r="FB184" s="142"/>
      <c r="FC184" s="142"/>
    </row>
    <row r="185" spans="31:159" s="93" customFormat="1">
      <c r="AE185" s="125"/>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c r="CN185" s="142"/>
      <c r="CO185" s="142"/>
      <c r="CP185" s="142"/>
      <c r="CQ185" s="142"/>
      <c r="CR185" s="142"/>
      <c r="CS185" s="142"/>
      <c r="CT185" s="142"/>
      <c r="CU185" s="142"/>
      <c r="CV185" s="142"/>
      <c r="CW185" s="142"/>
      <c r="CX185" s="142"/>
      <c r="CY185" s="142"/>
      <c r="CZ185" s="142"/>
      <c r="DA185" s="142"/>
      <c r="DB185" s="142"/>
      <c r="DC185" s="142"/>
      <c r="DD185" s="142"/>
      <c r="DE185" s="142"/>
      <c r="DF185" s="142"/>
      <c r="DG185" s="142"/>
      <c r="DH185" s="142"/>
      <c r="DI185" s="142"/>
      <c r="DJ185" s="142"/>
      <c r="DK185" s="142"/>
      <c r="DL185" s="142"/>
      <c r="DM185" s="142"/>
      <c r="DN185" s="142"/>
      <c r="DO185" s="142"/>
      <c r="DP185" s="142"/>
      <c r="DQ185" s="142"/>
      <c r="DR185" s="142"/>
      <c r="DS185" s="142"/>
      <c r="DT185" s="142"/>
      <c r="DU185" s="142"/>
      <c r="DV185" s="142"/>
      <c r="DW185" s="142"/>
      <c r="DX185" s="142"/>
      <c r="DY185" s="142"/>
      <c r="DZ185" s="142"/>
      <c r="EA185" s="142"/>
      <c r="EB185" s="142"/>
      <c r="EC185" s="142"/>
      <c r="ED185" s="142"/>
      <c r="EE185" s="142"/>
      <c r="EF185" s="142"/>
      <c r="EG185" s="142"/>
      <c r="EH185" s="142"/>
      <c r="EI185" s="142"/>
      <c r="EJ185" s="142"/>
      <c r="EK185" s="142"/>
      <c r="EL185" s="142"/>
      <c r="EM185" s="142"/>
      <c r="EN185" s="142"/>
      <c r="EO185" s="142"/>
      <c r="EP185" s="142"/>
      <c r="EQ185" s="142"/>
      <c r="ER185" s="142"/>
      <c r="ES185" s="142"/>
      <c r="ET185" s="142"/>
      <c r="EU185" s="142"/>
      <c r="EV185" s="142"/>
      <c r="EW185" s="142"/>
      <c r="EX185" s="142"/>
      <c r="EY185" s="142"/>
      <c r="EZ185" s="142"/>
      <c r="FA185" s="142"/>
      <c r="FB185" s="142"/>
      <c r="FC185" s="142"/>
    </row>
    <row r="186" spans="31:159" s="93" customFormat="1">
      <c r="AE186" s="125"/>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c r="CN186" s="142"/>
      <c r="CO186" s="142"/>
      <c r="CP186" s="142"/>
      <c r="CQ186" s="142"/>
      <c r="CR186" s="142"/>
      <c r="CS186" s="142"/>
      <c r="CT186" s="142"/>
      <c r="CU186" s="142"/>
      <c r="CV186" s="142"/>
      <c r="CW186" s="142"/>
      <c r="CX186" s="142"/>
      <c r="CY186" s="142"/>
      <c r="CZ186" s="142"/>
      <c r="DA186" s="142"/>
      <c r="DB186" s="142"/>
      <c r="DC186" s="142"/>
      <c r="DD186" s="142"/>
      <c r="DE186" s="142"/>
      <c r="DF186" s="142"/>
      <c r="DG186" s="142"/>
      <c r="DH186" s="142"/>
      <c r="DI186" s="142"/>
      <c r="DJ186" s="142"/>
      <c r="DK186" s="142"/>
      <c r="DL186" s="142"/>
      <c r="DM186" s="142"/>
      <c r="DN186" s="142"/>
      <c r="DO186" s="142"/>
      <c r="DP186" s="142"/>
      <c r="DQ186" s="142"/>
      <c r="DR186" s="142"/>
      <c r="DS186" s="142"/>
      <c r="DT186" s="142"/>
      <c r="DU186" s="142"/>
      <c r="DV186" s="142"/>
      <c r="DW186" s="142"/>
      <c r="DX186" s="142"/>
      <c r="DY186" s="142"/>
      <c r="DZ186" s="142"/>
      <c r="EA186" s="142"/>
      <c r="EB186" s="142"/>
      <c r="EC186" s="142"/>
      <c r="ED186" s="142"/>
      <c r="EE186" s="142"/>
      <c r="EF186" s="142"/>
      <c r="EG186" s="142"/>
      <c r="EH186" s="142"/>
      <c r="EI186" s="142"/>
      <c r="EJ186" s="142"/>
      <c r="EK186" s="142"/>
      <c r="EL186" s="142"/>
      <c r="EM186" s="142"/>
      <c r="EN186" s="142"/>
      <c r="EO186" s="142"/>
      <c r="EP186" s="142"/>
      <c r="EQ186" s="142"/>
      <c r="ER186" s="142"/>
      <c r="ES186" s="142"/>
      <c r="ET186" s="142"/>
      <c r="EU186" s="142"/>
      <c r="EV186" s="142"/>
      <c r="EW186" s="142"/>
      <c r="EX186" s="142"/>
      <c r="EY186" s="142"/>
      <c r="EZ186" s="142"/>
      <c r="FA186" s="142"/>
      <c r="FB186" s="142"/>
      <c r="FC186" s="142"/>
    </row>
    <row r="187" spans="31:159" s="93" customFormat="1">
      <c r="AE187" s="125"/>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c r="CN187" s="142"/>
      <c r="CO187" s="142"/>
      <c r="CP187" s="142"/>
      <c r="CQ187" s="142"/>
      <c r="CR187" s="142"/>
      <c r="CS187" s="142"/>
      <c r="CT187" s="142"/>
      <c r="CU187" s="142"/>
      <c r="CV187" s="142"/>
      <c r="CW187" s="142"/>
      <c r="CX187" s="142"/>
      <c r="CY187" s="142"/>
      <c r="CZ187" s="142"/>
      <c r="DA187" s="142"/>
      <c r="DB187" s="142"/>
      <c r="DC187" s="142"/>
      <c r="DD187" s="142"/>
      <c r="DE187" s="142"/>
      <c r="DF187" s="142"/>
      <c r="DG187" s="142"/>
      <c r="DH187" s="142"/>
      <c r="DI187" s="142"/>
      <c r="DJ187" s="142"/>
      <c r="DK187" s="142"/>
      <c r="DL187" s="142"/>
      <c r="DM187" s="142"/>
      <c r="DN187" s="142"/>
      <c r="DO187" s="142"/>
      <c r="DP187" s="142"/>
      <c r="DQ187" s="142"/>
      <c r="DR187" s="142"/>
      <c r="DS187" s="142"/>
      <c r="DT187" s="142"/>
      <c r="DU187" s="142"/>
      <c r="DV187" s="142"/>
      <c r="DW187" s="142"/>
      <c r="DX187" s="142"/>
      <c r="DY187" s="142"/>
      <c r="DZ187" s="142"/>
      <c r="EA187" s="142"/>
      <c r="EB187" s="142"/>
      <c r="EC187" s="142"/>
      <c r="ED187" s="142"/>
      <c r="EE187" s="142"/>
      <c r="EF187" s="142"/>
      <c r="EG187" s="142"/>
      <c r="EH187" s="142"/>
      <c r="EI187" s="142"/>
      <c r="EJ187" s="142"/>
      <c r="EK187" s="142"/>
      <c r="EL187" s="142"/>
      <c r="EM187" s="142"/>
      <c r="EN187" s="142"/>
      <c r="EO187" s="142"/>
      <c r="EP187" s="142"/>
      <c r="EQ187" s="142"/>
      <c r="ER187" s="142"/>
      <c r="ES187" s="142"/>
      <c r="ET187" s="142"/>
      <c r="EU187" s="142"/>
      <c r="EV187" s="142"/>
      <c r="EW187" s="142"/>
      <c r="EX187" s="142"/>
      <c r="EY187" s="142"/>
      <c r="EZ187" s="142"/>
      <c r="FA187" s="142"/>
      <c r="FB187" s="142"/>
      <c r="FC187" s="142"/>
    </row>
    <row r="188" spans="31:159" s="93" customFormat="1">
      <c r="AE188" s="125"/>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c r="CN188" s="142"/>
      <c r="CO188" s="142"/>
      <c r="CP188" s="142"/>
      <c r="CQ188" s="142"/>
      <c r="CR188" s="142"/>
      <c r="CS188" s="142"/>
      <c r="CT188" s="142"/>
      <c r="CU188" s="142"/>
      <c r="CV188" s="142"/>
      <c r="CW188" s="142"/>
      <c r="CX188" s="142"/>
      <c r="CY188" s="142"/>
      <c r="CZ188" s="142"/>
      <c r="DA188" s="142"/>
      <c r="DB188" s="142"/>
      <c r="DC188" s="142"/>
      <c r="DD188" s="142"/>
      <c r="DE188" s="142"/>
      <c r="DF188" s="142"/>
      <c r="DG188" s="142"/>
      <c r="DH188" s="142"/>
      <c r="DI188" s="142"/>
      <c r="DJ188" s="142"/>
      <c r="DK188" s="142"/>
      <c r="DL188" s="142"/>
      <c r="DM188" s="142"/>
      <c r="DN188" s="142"/>
      <c r="DO188" s="142"/>
      <c r="DP188" s="142"/>
      <c r="DQ188" s="142"/>
      <c r="DR188" s="142"/>
      <c r="DS188" s="142"/>
      <c r="DT188" s="142"/>
      <c r="DU188" s="142"/>
      <c r="DV188" s="142"/>
      <c r="DW188" s="142"/>
      <c r="DX188" s="142"/>
      <c r="DY188" s="142"/>
      <c r="DZ188" s="142"/>
      <c r="EA188" s="142"/>
      <c r="EB188" s="142"/>
      <c r="EC188" s="142"/>
      <c r="ED188" s="142"/>
      <c r="EE188" s="142"/>
      <c r="EF188" s="142"/>
      <c r="EG188" s="142"/>
      <c r="EH188" s="142"/>
      <c r="EI188" s="142"/>
      <c r="EJ188" s="142"/>
      <c r="EK188" s="142"/>
      <c r="EL188" s="142"/>
      <c r="EM188" s="142"/>
      <c r="EN188" s="142"/>
      <c r="EO188" s="142"/>
      <c r="EP188" s="142"/>
      <c r="EQ188" s="142"/>
      <c r="ER188" s="142"/>
      <c r="ES188" s="142"/>
      <c r="ET188" s="142"/>
      <c r="EU188" s="142"/>
      <c r="EV188" s="142"/>
      <c r="EW188" s="142"/>
      <c r="EX188" s="142"/>
      <c r="EY188" s="142"/>
      <c r="EZ188" s="142"/>
      <c r="FA188" s="142"/>
      <c r="FB188" s="142"/>
      <c r="FC188" s="142"/>
    </row>
    <row r="189" spans="31:159" s="93" customFormat="1">
      <c r="AE189" s="125"/>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c r="CN189" s="142"/>
      <c r="CO189" s="142"/>
      <c r="CP189" s="142"/>
      <c r="CQ189" s="142"/>
      <c r="CR189" s="142"/>
      <c r="CS189" s="142"/>
      <c r="CT189" s="142"/>
      <c r="CU189" s="142"/>
      <c r="CV189" s="142"/>
      <c r="CW189" s="142"/>
      <c r="CX189" s="142"/>
      <c r="CY189" s="142"/>
      <c r="CZ189" s="142"/>
      <c r="DA189" s="142"/>
      <c r="DB189" s="142"/>
      <c r="DC189" s="142"/>
      <c r="DD189" s="142"/>
      <c r="DE189" s="142"/>
      <c r="DF189" s="142"/>
      <c r="DG189" s="142"/>
      <c r="DH189" s="142"/>
      <c r="DI189" s="142"/>
      <c r="DJ189" s="142"/>
      <c r="DK189" s="142"/>
      <c r="DL189" s="142"/>
      <c r="DM189" s="142"/>
      <c r="DN189" s="142"/>
      <c r="DO189" s="142"/>
      <c r="DP189" s="142"/>
      <c r="DQ189" s="142"/>
      <c r="DR189" s="142"/>
      <c r="DS189" s="142"/>
      <c r="DT189" s="142"/>
      <c r="DU189" s="142"/>
      <c r="DV189" s="142"/>
      <c r="DW189" s="142"/>
      <c r="DX189" s="142"/>
      <c r="DY189" s="142"/>
      <c r="DZ189" s="142"/>
      <c r="EA189" s="142"/>
      <c r="EB189" s="142"/>
      <c r="EC189" s="142"/>
      <c r="ED189" s="142"/>
      <c r="EE189" s="142"/>
      <c r="EF189" s="142"/>
      <c r="EG189" s="142"/>
      <c r="EH189" s="142"/>
      <c r="EI189" s="142"/>
      <c r="EJ189" s="142"/>
      <c r="EK189" s="142"/>
      <c r="EL189" s="142"/>
      <c r="EM189" s="142"/>
      <c r="EN189" s="142"/>
      <c r="EO189" s="142"/>
      <c r="EP189" s="142"/>
      <c r="EQ189" s="142"/>
      <c r="ER189" s="142"/>
      <c r="ES189" s="142"/>
      <c r="ET189" s="142"/>
      <c r="EU189" s="142"/>
      <c r="EV189" s="142"/>
      <c r="EW189" s="142"/>
      <c r="EX189" s="142"/>
      <c r="EY189" s="142"/>
      <c r="EZ189" s="142"/>
      <c r="FA189" s="142"/>
      <c r="FB189" s="142"/>
      <c r="FC189" s="142"/>
    </row>
    <row r="190" spans="31:159" s="93" customFormat="1">
      <c r="AE190" s="125"/>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c r="CN190" s="142"/>
      <c r="CO190" s="142"/>
      <c r="CP190" s="142"/>
      <c r="CQ190" s="142"/>
      <c r="CR190" s="142"/>
      <c r="CS190" s="142"/>
      <c r="CT190" s="142"/>
      <c r="CU190" s="142"/>
      <c r="CV190" s="142"/>
      <c r="CW190" s="142"/>
      <c r="CX190" s="142"/>
      <c r="CY190" s="142"/>
      <c r="CZ190" s="142"/>
      <c r="DA190" s="142"/>
      <c r="DB190" s="142"/>
      <c r="DC190" s="142"/>
      <c r="DD190" s="142"/>
      <c r="DE190" s="142"/>
      <c r="DF190" s="142"/>
      <c r="DG190" s="142"/>
      <c r="DH190" s="142"/>
      <c r="DI190" s="142"/>
      <c r="DJ190" s="142"/>
      <c r="DK190" s="142"/>
      <c r="DL190" s="142"/>
      <c r="DM190" s="142"/>
      <c r="DN190" s="142"/>
      <c r="DO190" s="142"/>
      <c r="DP190" s="142"/>
      <c r="DQ190" s="142"/>
      <c r="DR190" s="142"/>
      <c r="DS190" s="142"/>
      <c r="DT190" s="142"/>
      <c r="DU190" s="142"/>
      <c r="DV190" s="142"/>
      <c r="DW190" s="142"/>
      <c r="DX190" s="142"/>
      <c r="DY190" s="142"/>
      <c r="DZ190" s="142"/>
      <c r="EA190" s="142"/>
      <c r="EB190" s="142"/>
      <c r="EC190" s="142"/>
      <c r="ED190" s="142"/>
      <c r="EE190" s="142"/>
      <c r="EF190" s="142"/>
      <c r="EG190" s="142"/>
      <c r="EH190" s="142"/>
      <c r="EI190" s="142"/>
      <c r="EJ190" s="142"/>
      <c r="EK190" s="142"/>
      <c r="EL190" s="142"/>
      <c r="EM190" s="142"/>
      <c r="EN190" s="142"/>
      <c r="EO190" s="142"/>
      <c r="EP190" s="142"/>
      <c r="EQ190" s="142"/>
      <c r="ER190" s="142"/>
      <c r="ES190" s="142"/>
      <c r="ET190" s="142"/>
      <c r="EU190" s="142"/>
      <c r="EV190" s="142"/>
      <c r="EW190" s="142"/>
      <c r="EX190" s="142"/>
      <c r="EY190" s="142"/>
      <c r="EZ190" s="142"/>
      <c r="FA190" s="142"/>
      <c r="FB190" s="142"/>
      <c r="FC190" s="142"/>
    </row>
    <row r="191" spans="31:159" s="93" customFormat="1">
      <c r="AE191" s="125"/>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c r="CN191" s="142"/>
      <c r="CO191" s="142"/>
      <c r="CP191" s="142"/>
      <c r="CQ191" s="142"/>
      <c r="CR191" s="142"/>
      <c r="CS191" s="142"/>
      <c r="CT191" s="142"/>
      <c r="CU191" s="142"/>
      <c r="CV191" s="142"/>
      <c r="CW191" s="142"/>
      <c r="CX191" s="142"/>
      <c r="CY191" s="142"/>
      <c r="CZ191" s="142"/>
      <c r="DA191" s="142"/>
      <c r="DB191" s="142"/>
      <c r="DC191" s="142"/>
      <c r="DD191" s="142"/>
      <c r="DE191" s="142"/>
      <c r="DF191" s="142"/>
      <c r="DG191" s="142"/>
      <c r="DH191" s="142"/>
      <c r="DI191" s="142"/>
      <c r="DJ191" s="142"/>
      <c r="DK191" s="142"/>
      <c r="DL191" s="142"/>
      <c r="DM191" s="142"/>
      <c r="DN191" s="142"/>
      <c r="DO191" s="142"/>
      <c r="DP191" s="142"/>
      <c r="DQ191" s="142"/>
      <c r="DR191" s="142"/>
      <c r="DS191" s="142"/>
      <c r="DT191" s="142"/>
      <c r="DU191" s="142"/>
      <c r="DV191" s="142"/>
      <c r="DW191" s="142"/>
      <c r="DX191" s="142"/>
      <c r="DY191" s="142"/>
      <c r="DZ191" s="142"/>
      <c r="EA191" s="142"/>
      <c r="EB191" s="142"/>
      <c r="EC191" s="142"/>
      <c r="ED191" s="142"/>
      <c r="EE191" s="142"/>
      <c r="EF191" s="142"/>
      <c r="EG191" s="142"/>
      <c r="EH191" s="142"/>
      <c r="EI191" s="142"/>
      <c r="EJ191" s="142"/>
      <c r="EK191" s="142"/>
      <c r="EL191" s="142"/>
      <c r="EM191" s="142"/>
      <c r="EN191" s="142"/>
      <c r="EO191" s="142"/>
      <c r="EP191" s="142"/>
      <c r="EQ191" s="142"/>
      <c r="ER191" s="142"/>
      <c r="ES191" s="142"/>
      <c r="ET191" s="142"/>
      <c r="EU191" s="142"/>
      <c r="EV191" s="142"/>
      <c r="EW191" s="142"/>
      <c r="EX191" s="142"/>
      <c r="EY191" s="142"/>
      <c r="EZ191" s="142"/>
      <c r="FA191" s="142"/>
      <c r="FB191" s="142"/>
      <c r="FC191" s="142"/>
    </row>
    <row r="192" spans="31:159" s="93" customFormat="1">
      <c r="AE192" s="125"/>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c r="CN192" s="142"/>
      <c r="CO192" s="142"/>
      <c r="CP192" s="142"/>
      <c r="CQ192" s="142"/>
      <c r="CR192" s="142"/>
      <c r="CS192" s="142"/>
      <c r="CT192" s="142"/>
      <c r="CU192" s="142"/>
      <c r="CV192" s="142"/>
      <c r="CW192" s="142"/>
      <c r="CX192" s="142"/>
      <c r="CY192" s="142"/>
      <c r="CZ192" s="142"/>
      <c r="DA192" s="142"/>
      <c r="DB192" s="142"/>
      <c r="DC192" s="142"/>
      <c r="DD192" s="142"/>
      <c r="DE192" s="142"/>
      <c r="DF192" s="142"/>
      <c r="DG192" s="142"/>
      <c r="DH192" s="142"/>
      <c r="DI192" s="142"/>
      <c r="DJ192" s="142"/>
      <c r="DK192" s="142"/>
      <c r="DL192" s="142"/>
      <c r="DM192" s="142"/>
      <c r="DN192" s="142"/>
      <c r="DO192" s="142"/>
      <c r="DP192" s="142"/>
      <c r="DQ192" s="142"/>
      <c r="DR192" s="142"/>
      <c r="DS192" s="142"/>
      <c r="DT192" s="142"/>
      <c r="DU192" s="142"/>
      <c r="DV192" s="142"/>
      <c r="DW192" s="142"/>
      <c r="DX192" s="142"/>
      <c r="DY192" s="142"/>
      <c r="DZ192" s="142"/>
      <c r="EA192" s="142"/>
      <c r="EB192" s="142"/>
      <c r="EC192" s="142"/>
      <c r="ED192" s="142"/>
      <c r="EE192" s="142"/>
      <c r="EF192" s="142"/>
      <c r="EG192" s="142"/>
      <c r="EH192" s="142"/>
      <c r="EI192" s="142"/>
      <c r="EJ192" s="142"/>
      <c r="EK192" s="142"/>
      <c r="EL192" s="142"/>
      <c r="EM192" s="142"/>
      <c r="EN192" s="142"/>
      <c r="EO192" s="142"/>
      <c r="EP192" s="142"/>
      <c r="EQ192" s="142"/>
      <c r="ER192" s="142"/>
      <c r="ES192" s="142"/>
      <c r="ET192" s="142"/>
      <c r="EU192" s="142"/>
      <c r="EV192" s="142"/>
      <c r="EW192" s="142"/>
      <c r="EX192" s="142"/>
      <c r="EY192" s="142"/>
      <c r="EZ192" s="142"/>
      <c r="FA192" s="142"/>
      <c r="FB192" s="142"/>
      <c r="FC192" s="142"/>
    </row>
    <row r="193" spans="31:159" s="93" customFormat="1">
      <c r="AE193" s="125"/>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c r="CN193" s="142"/>
      <c r="CO193" s="142"/>
      <c r="CP193" s="142"/>
      <c r="CQ193" s="142"/>
      <c r="CR193" s="142"/>
      <c r="CS193" s="142"/>
      <c r="CT193" s="142"/>
      <c r="CU193" s="142"/>
      <c r="CV193" s="142"/>
      <c r="CW193" s="142"/>
      <c r="CX193" s="142"/>
      <c r="CY193" s="142"/>
      <c r="CZ193" s="142"/>
      <c r="DA193" s="142"/>
      <c r="DB193" s="142"/>
      <c r="DC193" s="142"/>
      <c r="DD193" s="142"/>
      <c r="DE193" s="142"/>
      <c r="DF193" s="142"/>
      <c r="DG193" s="142"/>
      <c r="DH193" s="142"/>
      <c r="DI193" s="142"/>
      <c r="DJ193" s="142"/>
      <c r="DK193" s="142"/>
      <c r="DL193" s="142"/>
      <c r="DM193" s="142"/>
      <c r="DN193" s="142"/>
      <c r="DO193" s="142"/>
      <c r="DP193" s="142"/>
      <c r="DQ193" s="142"/>
      <c r="DR193" s="142"/>
      <c r="DS193" s="142"/>
      <c r="DT193" s="142"/>
      <c r="DU193" s="142"/>
      <c r="DV193" s="142"/>
      <c r="DW193" s="142"/>
      <c r="DX193" s="142"/>
      <c r="DY193" s="142"/>
      <c r="DZ193" s="142"/>
      <c r="EA193" s="142"/>
      <c r="EB193" s="142"/>
      <c r="EC193" s="142"/>
      <c r="ED193" s="142"/>
      <c r="EE193" s="142"/>
      <c r="EF193" s="142"/>
      <c r="EG193" s="142"/>
      <c r="EH193" s="142"/>
      <c r="EI193" s="142"/>
      <c r="EJ193" s="142"/>
      <c r="EK193" s="142"/>
      <c r="EL193" s="142"/>
      <c r="EM193" s="142"/>
      <c r="EN193" s="142"/>
      <c r="EO193" s="142"/>
      <c r="EP193" s="142"/>
      <c r="EQ193" s="142"/>
      <c r="ER193" s="142"/>
      <c r="ES193" s="142"/>
      <c r="ET193" s="142"/>
      <c r="EU193" s="142"/>
      <c r="EV193" s="142"/>
      <c r="EW193" s="142"/>
      <c r="EX193" s="142"/>
      <c r="EY193" s="142"/>
      <c r="EZ193" s="142"/>
      <c r="FA193" s="142"/>
      <c r="FB193" s="142"/>
      <c r="FC193" s="142"/>
    </row>
    <row r="194" spans="31:159" s="93" customFormat="1">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c r="CN194" s="142"/>
      <c r="CO194" s="142"/>
      <c r="CP194" s="142"/>
      <c r="CQ194" s="142"/>
      <c r="CR194" s="142"/>
      <c r="CS194" s="142"/>
      <c r="CT194" s="142"/>
      <c r="CU194" s="142"/>
      <c r="CV194" s="142"/>
      <c r="CW194" s="142"/>
      <c r="CX194" s="142"/>
      <c r="CY194" s="142"/>
      <c r="CZ194" s="142"/>
      <c r="DA194" s="142"/>
      <c r="DB194" s="142"/>
      <c r="DC194" s="142"/>
      <c r="DD194" s="142"/>
      <c r="DE194" s="142"/>
      <c r="DF194" s="142"/>
      <c r="DG194" s="142"/>
      <c r="DH194" s="142"/>
      <c r="DI194" s="142"/>
      <c r="DJ194" s="142"/>
      <c r="DK194" s="142"/>
      <c r="DL194" s="142"/>
      <c r="DM194" s="142"/>
      <c r="DN194" s="142"/>
      <c r="DO194" s="142"/>
      <c r="DP194" s="142"/>
      <c r="DQ194" s="142"/>
      <c r="DR194" s="142"/>
      <c r="DS194" s="142"/>
      <c r="DT194" s="142"/>
      <c r="DU194" s="142"/>
      <c r="DV194" s="142"/>
      <c r="DW194" s="142"/>
      <c r="DX194" s="142"/>
      <c r="DY194" s="142"/>
      <c r="DZ194" s="142"/>
      <c r="EA194" s="142"/>
      <c r="EB194" s="142"/>
      <c r="EC194" s="142"/>
      <c r="ED194" s="142"/>
      <c r="EE194" s="142"/>
      <c r="EF194" s="142"/>
      <c r="EG194" s="142"/>
      <c r="EH194" s="142"/>
      <c r="EI194" s="142"/>
      <c r="EJ194" s="142"/>
      <c r="EK194" s="142"/>
      <c r="EL194" s="142"/>
      <c r="EM194" s="142"/>
      <c r="EN194" s="142"/>
      <c r="EO194" s="142"/>
      <c r="EP194" s="142"/>
      <c r="EQ194" s="142"/>
      <c r="ER194" s="142"/>
      <c r="ES194" s="142"/>
      <c r="ET194" s="142"/>
      <c r="EU194" s="142"/>
      <c r="EV194" s="142"/>
      <c r="EW194" s="142"/>
      <c r="EX194" s="142"/>
      <c r="EY194" s="142"/>
      <c r="EZ194" s="142"/>
      <c r="FA194" s="142"/>
      <c r="FB194" s="142"/>
      <c r="FC194" s="142"/>
    </row>
    <row r="195" spans="31:159" s="93" customFormat="1">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c r="CN195" s="142"/>
      <c r="CO195" s="142"/>
      <c r="CP195" s="142"/>
      <c r="CQ195" s="142"/>
      <c r="CR195" s="142"/>
      <c r="CS195" s="142"/>
      <c r="CT195" s="142"/>
      <c r="CU195" s="142"/>
      <c r="CV195" s="142"/>
      <c r="CW195" s="142"/>
      <c r="CX195" s="142"/>
      <c r="CY195" s="142"/>
      <c r="CZ195" s="142"/>
      <c r="DA195" s="142"/>
      <c r="DB195" s="142"/>
      <c r="DC195" s="142"/>
      <c r="DD195" s="142"/>
      <c r="DE195" s="142"/>
      <c r="DF195" s="142"/>
      <c r="DG195" s="142"/>
      <c r="DH195" s="142"/>
      <c r="DI195" s="142"/>
      <c r="DJ195" s="142"/>
      <c r="DK195" s="142"/>
      <c r="DL195" s="142"/>
      <c r="DM195" s="142"/>
      <c r="DN195" s="142"/>
      <c r="DO195" s="142"/>
      <c r="DP195" s="142"/>
      <c r="DQ195" s="142"/>
      <c r="DR195" s="142"/>
      <c r="DS195" s="142"/>
      <c r="DT195" s="142"/>
      <c r="DU195" s="142"/>
      <c r="DV195" s="142"/>
      <c r="DW195" s="142"/>
      <c r="DX195" s="142"/>
      <c r="DY195" s="142"/>
      <c r="DZ195" s="142"/>
      <c r="EA195" s="142"/>
      <c r="EB195" s="142"/>
      <c r="EC195" s="142"/>
      <c r="ED195" s="142"/>
      <c r="EE195" s="142"/>
      <c r="EF195" s="142"/>
      <c r="EG195" s="142"/>
      <c r="EH195" s="142"/>
      <c r="EI195" s="142"/>
      <c r="EJ195" s="142"/>
      <c r="EK195" s="142"/>
      <c r="EL195" s="142"/>
      <c r="EM195" s="142"/>
      <c r="EN195" s="142"/>
      <c r="EO195" s="142"/>
      <c r="EP195" s="142"/>
      <c r="EQ195" s="142"/>
      <c r="ER195" s="142"/>
      <c r="ES195" s="142"/>
      <c r="ET195" s="142"/>
      <c r="EU195" s="142"/>
      <c r="EV195" s="142"/>
      <c r="EW195" s="142"/>
      <c r="EX195" s="142"/>
      <c r="EY195" s="142"/>
      <c r="EZ195" s="142"/>
      <c r="FA195" s="142"/>
      <c r="FB195" s="142"/>
      <c r="FC195" s="142"/>
    </row>
    <row r="196" spans="31:159" s="93" customFormat="1">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c r="CN196" s="142"/>
      <c r="CO196" s="142"/>
      <c r="CP196" s="142"/>
      <c r="CQ196" s="142"/>
      <c r="CR196" s="142"/>
      <c r="CS196" s="142"/>
      <c r="CT196" s="142"/>
      <c r="CU196" s="142"/>
      <c r="CV196" s="142"/>
      <c r="CW196" s="142"/>
      <c r="CX196" s="142"/>
      <c r="CY196" s="142"/>
      <c r="CZ196" s="142"/>
      <c r="DA196" s="142"/>
      <c r="DB196" s="142"/>
      <c r="DC196" s="142"/>
      <c r="DD196" s="142"/>
      <c r="DE196" s="142"/>
      <c r="DF196" s="142"/>
      <c r="DG196" s="142"/>
      <c r="DH196" s="142"/>
      <c r="DI196" s="142"/>
      <c r="DJ196" s="142"/>
      <c r="DK196" s="142"/>
      <c r="DL196" s="142"/>
      <c r="DM196" s="142"/>
      <c r="DN196" s="142"/>
      <c r="DO196" s="142"/>
      <c r="DP196" s="142"/>
      <c r="DQ196" s="142"/>
      <c r="DR196" s="142"/>
      <c r="DS196" s="142"/>
      <c r="DT196" s="142"/>
      <c r="DU196" s="142"/>
      <c r="DV196" s="142"/>
      <c r="DW196" s="142"/>
      <c r="DX196" s="142"/>
      <c r="DY196" s="142"/>
      <c r="DZ196" s="142"/>
      <c r="EA196" s="142"/>
      <c r="EB196" s="142"/>
      <c r="EC196" s="142"/>
      <c r="ED196" s="142"/>
      <c r="EE196" s="142"/>
      <c r="EF196" s="142"/>
      <c r="EG196" s="142"/>
      <c r="EH196" s="142"/>
      <c r="EI196" s="142"/>
      <c r="EJ196" s="142"/>
      <c r="EK196" s="142"/>
      <c r="EL196" s="142"/>
      <c r="EM196" s="142"/>
      <c r="EN196" s="142"/>
      <c r="EO196" s="142"/>
      <c r="EP196" s="142"/>
      <c r="EQ196" s="142"/>
      <c r="ER196" s="142"/>
      <c r="ES196" s="142"/>
      <c r="ET196" s="142"/>
      <c r="EU196" s="142"/>
      <c r="EV196" s="142"/>
      <c r="EW196" s="142"/>
      <c r="EX196" s="142"/>
      <c r="EY196" s="142"/>
      <c r="EZ196" s="142"/>
      <c r="FA196" s="142"/>
      <c r="FB196" s="142"/>
      <c r="FC196" s="142"/>
    </row>
    <row r="197" spans="31:159">
      <c r="AF197" s="146"/>
      <c r="AG197" s="146"/>
      <c r="AH197" s="146"/>
      <c r="AI197" s="146"/>
      <c r="AJ197" s="146"/>
      <c r="AK197" s="146"/>
      <c r="AL197" s="146"/>
      <c r="AM197" s="146"/>
      <c r="AN197" s="146"/>
      <c r="AO197" s="146"/>
      <c r="AP197" s="146"/>
      <c r="AQ197" s="146"/>
      <c r="AR197" s="142"/>
      <c r="AS197" s="146"/>
      <c r="AT197" s="146"/>
      <c r="AU197" s="146"/>
      <c r="AV197" s="146"/>
      <c r="AW197" s="146"/>
      <c r="AX197" s="146"/>
      <c r="AY197" s="146"/>
      <c r="AZ197" s="146"/>
      <c r="BA197" s="146"/>
      <c r="BB197" s="146"/>
      <c r="BC197" s="146"/>
      <c r="BD197" s="142"/>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c r="CA197" s="146"/>
      <c r="CB197" s="146"/>
      <c r="CC197" s="146"/>
      <c r="CD197" s="142"/>
      <c r="CE197" s="146"/>
      <c r="CF197" s="146"/>
      <c r="CG197" s="146"/>
      <c r="CH197" s="146"/>
      <c r="CI197" s="146"/>
      <c r="CJ197" s="146"/>
      <c r="CK197" s="146"/>
      <c r="CL197" s="146"/>
      <c r="CM197" s="146"/>
      <c r="CN197" s="146"/>
      <c r="CO197" s="146"/>
      <c r="CP197" s="146"/>
      <c r="CQ197" s="146"/>
      <c r="CR197" s="142"/>
      <c r="CS197" s="146"/>
      <c r="CT197" s="146"/>
      <c r="CU197" s="146"/>
      <c r="CV197" s="146"/>
      <c r="CW197" s="146"/>
      <c r="CX197" s="146"/>
      <c r="CY197" s="146"/>
      <c r="CZ197" s="146"/>
      <c r="DA197" s="146"/>
      <c r="DB197" s="146"/>
      <c r="DC197" s="146"/>
      <c r="DD197" s="146"/>
      <c r="DE197" s="146"/>
      <c r="DF197" s="142"/>
      <c r="DG197" s="146"/>
      <c r="DH197" s="146"/>
      <c r="DI197" s="146"/>
      <c r="DJ197" s="146"/>
      <c r="DK197" s="146"/>
      <c r="DL197" s="146"/>
      <c r="DM197" s="146"/>
      <c r="DN197" s="146"/>
      <c r="DO197" s="146"/>
      <c r="DP197" s="146"/>
      <c r="DQ197" s="146"/>
      <c r="DR197" s="146"/>
      <c r="DS197" s="146"/>
      <c r="DT197" s="146"/>
      <c r="DU197" s="146"/>
      <c r="DV197" s="146"/>
      <c r="DW197" s="146"/>
      <c r="DX197" s="146"/>
      <c r="DY197" s="146"/>
      <c r="DZ197" s="146"/>
      <c r="EA197" s="146"/>
      <c r="EB197" s="146"/>
      <c r="EC197" s="146"/>
      <c r="ED197" s="146"/>
      <c r="EE197" s="146"/>
      <c r="EF197" s="146"/>
      <c r="EG197" s="146"/>
      <c r="EH197" s="146"/>
      <c r="EI197" s="146"/>
      <c r="EJ197" s="146"/>
      <c r="EK197" s="146"/>
      <c r="EL197" s="146"/>
      <c r="EM197" s="146"/>
      <c r="EN197" s="146"/>
      <c r="EO197" s="146"/>
      <c r="EP197" s="146"/>
      <c r="EQ197" s="146"/>
      <c r="ER197" s="146"/>
      <c r="ES197" s="146"/>
      <c r="ET197" s="146"/>
      <c r="EU197" s="146"/>
      <c r="EV197" s="146"/>
      <c r="EW197" s="146"/>
      <c r="EX197" s="146"/>
      <c r="EY197" s="146"/>
      <c r="EZ197" s="146"/>
      <c r="FA197" s="146"/>
      <c r="FB197" s="146"/>
      <c r="FC197" s="146"/>
    </row>
    <row r="198" spans="31:159">
      <c r="AF198" s="146"/>
      <c r="AG198" s="146"/>
      <c r="AH198" s="146"/>
      <c r="AI198" s="146"/>
      <c r="AJ198" s="146"/>
      <c r="AK198" s="146"/>
      <c r="AL198" s="146"/>
      <c r="AM198" s="146"/>
      <c r="AN198" s="146"/>
      <c r="AO198" s="146"/>
      <c r="AP198" s="146"/>
      <c r="AQ198" s="146"/>
      <c r="AR198" s="142"/>
      <c r="AS198" s="146"/>
      <c r="AT198" s="146"/>
      <c r="AU198" s="146"/>
      <c r="AV198" s="146"/>
      <c r="AW198" s="146"/>
      <c r="AX198" s="146"/>
      <c r="AY198" s="146"/>
      <c r="AZ198" s="146"/>
      <c r="BA198" s="146"/>
      <c r="BB198" s="146"/>
      <c r="BC198" s="146"/>
      <c r="BD198" s="142"/>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c r="CA198" s="146"/>
      <c r="CB198" s="146"/>
      <c r="CC198" s="146"/>
      <c r="CD198" s="142"/>
      <c r="CE198" s="146"/>
      <c r="CF198" s="146"/>
      <c r="CG198" s="146"/>
      <c r="CH198" s="146"/>
      <c r="CI198" s="146"/>
      <c r="CJ198" s="146"/>
      <c r="CK198" s="146"/>
      <c r="CL198" s="146"/>
      <c r="CM198" s="146"/>
      <c r="CN198" s="146"/>
      <c r="CO198" s="146"/>
      <c r="CP198" s="146"/>
      <c r="CQ198" s="146"/>
      <c r="CR198" s="142"/>
      <c r="CS198" s="146"/>
      <c r="CT198" s="146"/>
      <c r="CU198" s="146"/>
      <c r="CV198" s="146"/>
      <c r="CW198" s="146"/>
      <c r="CX198" s="146"/>
      <c r="CY198" s="146"/>
      <c r="CZ198" s="146"/>
      <c r="DA198" s="146"/>
      <c r="DB198" s="146"/>
      <c r="DC198" s="146"/>
      <c r="DD198" s="146"/>
      <c r="DE198" s="146"/>
      <c r="DF198" s="142"/>
      <c r="DG198" s="146"/>
      <c r="DH198" s="146"/>
      <c r="DI198" s="146"/>
      <c r="DJ198" s="146"/>
      <c r="DK198" s="146"/>
      <c r="DL198" s="146"/>
      <c r="DM198" s="146"/>
      <c r="DN198" s="146"/>
      <c r="DO198" s="146"/>
      <c r="DP198" s="146"/>
      <c r="DQ198" s="146"/>
      <c r="DR198" s="146"/>
      <c r="DS198" s="146"/>
      <c r="DT198" s="146"/>
      <c r="DU198" s="146"/>
      <c r="DV198" s="146"/>
      <c r="DW198" s="146"/>
      <c r="DX198" s="146"/>
      <c r="DY198" s="146"/>
      <c r="DZ198" s="146"/>
      <c r="EA198" s="146"/>
      <c r="EB198" s="146"/>
      <c r="EC198" s="146"/>
      <c r="ED198" s="146"/>
      <c r="EE198" s="146"/>
      <c r="EF198" s="146"/>
      <c r="EG198" s="146"/>
      <c r="EH198" s="146"/>
      <c r="EI198" s="146"/>
      <c r="EJ198" s="146"/>
      <c r="EK198" s="146"/>
      <c r="EL198" s="146"/>
      <c r="EM198" s="146"/>
      <c r="EN198" s="146"/>
      <c r="EO198" s="146"/>
      <c r="EP198" s="146"/>
      <c r="EQ198" s="146"/>
      <c r="ER198" s="146"/>
      <c r="ES198" s="146"/>
      <c r="ET198" s="146"/>
      <c r="EU198" s="146"/>
      <c r="EV198" s="146"/>
      <c r="EW198" s="146"/>
      <c r="EX198" s="146"/>
      <c r="EY198" s="146"/>
      <c r="EZ198" s="146"/>
      <c r="FA198" s="146"/>
      <c r="FB198" s="146"/>
      <c r="FC198" s="146"/>
    </row>
    <row r="199" spans="31:159">
      <c r="AF199" s="146"/>
      <c r="AG199" s="146"/>
      <c r="AH199" s="146"/>
      <c r="AI199" s="146"/>
      <c r="AJ199" s="146"/>
      <c r="AK199" s="146"/>
      <c r="AL199" s="146"/>
      <c r="AM199" s="146"/>
      <c r="AN199" s="146"/>
      <c r="AO199" s="146"/>
      <c r="AP199" s="146"/>
      <c r="AQ199" s="146"/>
      <c r="AR199" s="142"/>
      <c r="AS199" s="146"/>
      <c r="AT199" s="146"/>
      <c r="AU199" s="146"/>
      <c r="AV199" s="146"/>
      <c r="AW199" s="146"/>
      <c r="AX199" s="146"/>
      <c r="AY199" s="146"/>
      <c r="AZ199" s="146"/>
      <c r="BA199" s="146"/>
      <c r="BB199" s="146"/>
      <c r="BC199" s="146"/>
      <c r="BD199" s="142"/>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c r="CA199" s="146"/>
      <c r="CB199" s="146"/>
      <c r="CC199" s="146"/>
      <c r="CD199" s="142"/>
      <c r="CE199" s="146"/>
      <c r="CF199" s="146"/>
      <c r="CG199" s="146"/>
      <c r="CH199" s="146"/>
      <c r="CI199" s="146"/>
      <c r="CJ199" s="146"/>
      <c r="CK199" s="146"/>
      <c r="CL199" s="146"/>
      <c r="CM199" s="146"/>
      <c r="CN199" s="146"/>
      <c r="CO199" s="146"/>
      <c r="CP199" s="146"/>
      <c r="CQ199" s="146"/>
      <c r="CR199" s="142"/>
      <c r="CS199" s="146"/>
      <c r="CT199" s="146"/>
      <c r="CU199" s="146"/>
      <c r="CV199" s="146"/>
      <c r="CW199" s="146"/>
      <c r="CX199" s="146"/>
      <c r="CY199" s="146"/>
      <c r="CZ199" s="146"/>
      <c r="DA199" s="146"/>
      <c r="DB199" s="146"/>
      <c r="DC199" s="146"/>
      <c r="DD199" s="146"/>
      <c r="DE199" s="146"/>
      <c r="DF199" s="142"/>
      <c r="DG199" s="146"/>
      <c r="DH199" s="146"/>
      <c r="DI199" s="146"/>
      <c r="DJ199" s="146"/>
      <c r="DK199" s="146"/>
      <c r="DL199" s="146"/>
      <c r="DM199" s="146"/>
      <c r="DN199" s="146"/>
      <c r="DO199" s="146"/>
      <c r="DP199" s="146"/>
      <c r="DQ199" s="146"/>
      <c r="DR199" s="146"/>
      <c r="DS199" s="146"/>
      <c r="DT199" s="146"/>
      <c r="DU199" s="146"/>
      <c r="DV199" s="146"/>
      <c r="DW199" s="146"/>
      <c r="DX199" s="146"/>
      <c r="DY199" s="146"/>
      <c r="DZ199" s="146"/>
      <c r="EA199" s="146"/>
      <c r="EB199" s="146"/>
      <c r="EC199" s="146"/>
      <c r="ED199" s="146"/>
      <c r="EE199" s="146"/>
      <c r="EF199" s="146"/>
      <c r="EG199" s="146"/>
      <c r="EH199" s="146"/>
      <c r="EI199" s="146"/>
      <c r="EJ199" s="146"/>
      <c r="EK199" s="146"/>
      <c r="EL199" s="146"/>
      <c r="EM199" s="146"/>
      <c r="EN199" s="146"/>
      <c r="EO199" s="146"/>
      <c r="EP199" s="146"/>
      <c r="EQ199" s="146"/>
      <c r="ER199" s="146"/>
      <c r="ES199" s="146"/>
      <c r="ET199" s="146"/>
      <c r="EU199" s="146"/>
      <c r="EV199" s="146"/>
      <c r="EW199" s="146"/>
      <c r="EX199" s="146"/>
      <c r="EY199" s="146"/>
      <c r="EZ199" s="146"/>
      <c r="FA199" s="146"/>
      <c r="FB199" s="146"/>
      <c r="FC199" s="146"/>
    </row>
    <row r="200" spans="31:159">
      <c r="AF200" s="146"/>
      <c r="AG200" s="146"/>
      <c r="AH200" s="146"/>
      <c r="AI200" s="146"/>
      <c r="AJ200" s="146"/>
      <c r="AK200" s="146"/>
      <c r="AL200" s="146"/>
      <c r="AM200" s="146"/>
      <c r="AN200" s="146"/>
      <c r="AO200" s="146"/>
      <c r="AP200" s="146"/>
      <c r="AQ200" s="146"/>
      <c r="AR200" s="142"/>
      <c r="AS200" s="146"/>
      <c r="AT200" s="146"/>
      <c r="AU200" s="146"/>
      <c r="AV200" s="146"/>
      <c r="AW200" s="146"/>
      <c r="AX200" s="146"/>
      <c r="AY200" s="146"/>
      <c r="AZ200" s="146"/>
      <c r="BA200" s="146"/>
      <c r="BB200" s="146"/>
      <c r="BC200" s="146"/>
      <c r="BD200" s="142"/>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c r="CA200" s="146"/>
      <c r="CB200" s="146"/>
      <c r="CC200" s="146"/>
      <c r="CD200" s="142"/>
      <c r="CE200" s="146"/>
      <c r="CF200" s="146"/>
      <c r="CG200" s="146"/>
      <c r="CH200" s="146"/>
      <c r="CI200" s="146"/>
      <c r="CJ200" s="146"/>
      <c r="CK200" s="146"/>
      <c r="CL200" s="146"/>
      <c r="CM200" s="146"/>
      <c r="CN200" s="146"/>
      <c r="CO200" s="146"/>
      <c r="CP200" s="146"/>
      <c r="CQ200" s="146"/>
      <c r="CR200" s="142"/>
      <c r="CS200" s="146"/>
      <c r="CT200" s="146"/>
      <c r="CU200" s="146"/>
      <c r="CV200" s="146"/>
      <c r="CW200" s="146"/>
      <c r="CX200" s="146"/>
      <c r="CY200" s="146"/>
      <c r="CZ200" s="146"/>
      <c r="DA200" s="146"/>
      <c r="DB200" s="146"/>
      <c r="DC200" s="146"/>
      <c r="DD200" s="146"/>
      <c r="DE200" s="146"/>
      <c r="DF200" s="142"/>
      <c r="DG200" s="146"/>
      <c r="DH200" s="146"/>
      <c r="DI200" s="146"/>
      <c r="DJ200" s="146"/>
      <c r="DK200" s="146"/>
      <c r="DL200" s="146"/>
      <c r="DM200" s="146"/>
      <c r="DN200" s="146"/>
      <c r="DO200" s="146"/>
      <c r="DP200" s="146"/>
      <c r="DQ200" s="146"/>
      <c r="DR200" s="146"/>
      <c r="DS200" s="146"/>
      <c r="DT200" s="146"/>
      <c r="DU200" s="146"/>
      <c r="DV200" s="146"/>
      <c r="DW200" s="146"/>
      <c r="DX200" s="146"/>
      <c r="DY200" s="146"/>
      <c r="DZ200" s="146"/>
      <c r="EA200" s="146"/>
      <c r="EB200" s="146"/>
      <c r="EC200" s="146"/>
      <c r="ED200" s="146"/>
      <c r="EE200" s="146"/>
      <c r="EF200" s="146"/>
      <c r="EG200" s="146"/>
      <c r="EH200" s="146"/>
      <c r="EI200" s="146"/>
      <c r="EJ200" s="146"/>
      <c r="EK200" s="146"/>
      <c r="EL200" s="146"/>
      <c r="EM200" s="146"/>
      <c r="EN200" s="146"/>
      <c r="EO200" s="146"/>
      <c r="EP200" s="146"/>
      <c r="EQ200" s="146"/>
      <c r="ER200" s="146"/>
      <c r="ES200" s="146"/>
      <c r="ET200" s="146"/>
      <c r="EU200" s="146"/>
      <c r="EV200" s="146"/>
      <c r="EW200" s="146"/>
      <c r="EX200" s="146"/>
      <c r="EY200" s="146"/>
      <c r="EZ200" s="146"/>
      <c r="FA200" s="146"/>
      <c r="FB200" s="146"/>
      <c r="FC200" s="146"/>
    </row>
    <row r="201" spans="31:159">
      <c r="AF201" s="146"/>
      <c r="AG201" s="146"/>
      <c r="AH201" s="146"/>
      <c r="AI201" s="146"/>
      <c r="AJ201" s="146"/>
      <c r="AK201" s="146"/>
      <c r="AL201" s="146"/>
      <c r="AM201" s="146"/>
      <c r="AN201" s="146"/>
      <c r="AO201" s="146"/>
      <c r="AP201" s="146"/>
      <c r="AQ201" s="146"/>
      <c r="AR201" s="142"/>
      <c r="AS201" s="146"/>
      <c r="AT201" s="146"/>
      <c r="AU201" s="146"/>
      <c r="AV201" s="146"/>
      <c r="AW201" s="146"/>
      <c r="AX201" s="146"/>
      <c r="AY201" s="146"/>
      <c r="AZ201" s="146"/>
      <c r="BA201" s="146"/>
      <c r="BB201" s="146"/>
      <c r="BC201" s="146"/>
      <c r="BD201" s="142"/>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c r="CA201" s="146"/>
      <c r="CB201" s="146"/>
      <c r="CC201" s="146"/>
      <c r="CD201" s="142"/>
      <c r="CE201" s="146"/>
      <c r="CF201" s="146"/>
      <c r="CG201" s="146"/>
      <c r="CH201" s="146"/>
      <c r="CI201" s="146"/>
      <c r="CJ201" s="146"/>
      <c r="CK201" s="146"/>
      <c r="CL201" s="146"/>
      <c r="CM201" s="146"/>
      <c r="CN201" s="146"/>
      <c r="CO201" s="146"/>
      <c r="CP201" s="146"/>
      <c r="CQ201" s="146"/>
      <c r="CR201" s="142"/>
      <c r="CS201" s="146"/>
      <c r="CT201" s="146"/>
      <c r="CU201" s="146"/>
      <c r="CV201" s="146"/>
      <c r="CW201" s="146"/>
      <c r="CX201" s="146"/>
      <c r="CY201" s="146"/>
      <c r="CZ201" s="146"/>
      <c r="DA201" s="146"/>
      <c r="DB201" s="146"/>
      <c r="DC201" s="146"/>
      <c r="DD201" s="146"/>
      <c r="DE201" s="146"/>
      <c r="DF201" s="142"/>
      <c r="DG201" s="146"/>
      <c r="DH201" s="146"/>
      <c r="DI201" s="146"/>
      <c r="DJ201" s="146"/>
      <c r="DK201" s="146"/>
      <c r="DL201" s="146"/>
      <c r="DM201" s="146"/>
      <c r="DN201" s="146"/>
      <c r="DO201" s="146"/>
      <c r="DP201" s="146"/>
      <c r="DQ201" s="146"/>
      <c r="DR201" s="146"/>
      <c r="DS201" s="146"/>
      <c r="DT201" s="146"/>
      <c r="DU201" s="146"/>
      <c r="DV201" s="146"/>
      <c r="DW201" s="146"/>
      <c r="DX201" s="146"/>
      <c r="DY201" s="146"/>
      <c r="DZ201" s="146"/>
      <c r="EA201" s="146"/>
      <c r="EB201" s="146"/>
      <c r="EC201" s="146"/>
      <c r="ED201" s="146"/>
      <c r="EE201" s="146"/>
      <c r="EF201" s="146"/>
      <c r="EG201" s="146"/>
      <c r="EH201" s="146"/>
      <c r="EI201" s="146"/>
      <c r="EJ201" s="146"/>
      <c r="EK201" s="146"/>
      <c r="EL201" s="146"/>
      <c r="EM201" s="146"/>
      <c r="EN201" s="146"/>
      <c r="EO201" s="146"/>
      <c r="EP201" s="146"/>
      <c r="EQ201" s="146"/>
      <c r="ER201" s="146"/>
      <c r="ES201" s="146"/>
      <c r="ET201" s="146"/>
      <c r="EU201" s="146"/>
      <c r="EV201" s="146"/>
      <c r="EW201" s="146"/>
      <c r="EX201" s="146"/>
      <c r="EY201" s="146"/>
      <c r="EZ201" s="146"/>
      <c r="FA201" s="146"/>
      <c r="FB201" s="146"/>
      <c r="FC201" s="146"/>
    </row>
    <row r="202" spans="31:159">
      <c r="AF202" s="146"/>
      <c r="AG202" s="146"/>
      <c r="AH202" s="146"/>
      <c r="AI202" s="146"/>
      <c r="AJ202" s="146"/>
      <c r="AK202" s="146"/>
      <c r="AL202" s="146"/>
      <c r="AM202" s="146"/>
      <c r="AN202" s="146"/>
      <c r="AO202" s="146"/>
      <c r="AP202" s="146"/>
      <c r="AQ202" s="146"/>
      <c r="AR202" s="142"/>
      <c r="AS202" s="146"/>
      <c r="AT202" s="146"/>
      <c r="AU202" s="146"/>
      <c r="AV202" s="146"/>
      <c r="AW202" s="146"/>
      <c r="AX202" s="146"/>
      <c r="AY202" s="146"/>
      <c r="AZ202" s="146"/>
      <c r="BA202" s="146"/>
      <c r="BB202" s="146"/>
      <c r="BC202" s="146"/>
      <c r="BD202" s="142"/>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c r="CA202" s="146"/>
      <c r="CB202" s="146"/>
      <c r="CC202" s="146"/>
      <c r="CD202" s="142"/>
      <c r="CE202" s="146"/>
      <c r="CF202" s="146"/>
      <c r="CG202" s="146"/>
      <c r="CH202" s="146"/>
      <c r="CI202" s="146"/>
      <c r="CJ202" s="146"/>
      <c r="CK202" s="146"/>
      <c r="CL202" s="146"/>
      <c r="CM202" s="146"/>
      <c r="CN202" s="146"/>
      <c r="CO202" s="146"/>
      <c r="CP202" s="146"/>
      <c r="CQ202" s="146"/>
      <c r="CR202" s="142"/>
      <c r="CS202" s="146"/>
      <c r="CT202" s="146"/>
      <c r="CU202" s="146"/>
      <c r="CV202" s="146"/>
      <c r="CW202" s="146"/>
      <c r="CX202" s="146"/>
      <c r="CY202" s="146"/>
      <c r="CZ202" s="146"/>
      <c r="DA202" s="146"/>
      <c r="DB202" s="146"/>
      <c r="DC202" s="146"/>
      <c r="DD202" s="146"/>
      <c r="DE202" s="146"/>
      <c r="DF202" s="142"/>
      <c r="DG202" s="146"/>
      <c r="DH202" s="146"/>
      <c r="DI202" s="146"/>
      <c r="DJ202" s="146"/>
      <c r="DK202" s="146"/>
      <c r="DL202" s="146"/>
      <c r="DM202" s="146"/>
      <c r="DN202" s="146"/>
      <c r="DO202" s="146"/>
      <c r="DP202" s="146"/>
      <c r="DQ202" s="146"/>
      <c r="DR202" s="146"/>
      <c r="DS202" s="146"/>
      <c r="DT202" s="146"/>
      <c r="DU202" s="146"/>
      <c r="DV202" s="146"/>
      <c r="DW202" s="146"/>
      <c r="DX202" s="146"/>
      <c r="DY202" s="146"/>
      <c r="DZ202" s="146"/>
      <c r="EA202" s="146"/>
      <c r="EB202" s="146"/>
      <c r="EC202" s="146"/>
      <c r="ED202" s="146"/>
      <c r="EE202" s="146"/>
      <c r="EF202" s="146"/>
      <c r="EG202" s="146"/>
      <c r="EH202" s="146"/>
      <c r="EI202" s="146"/>
      <c r="EJ202" s="146"/>
      <c r="EK202" s="146"/>
      <c r="EL202" s="146"/>
      <c r="EM202" s="146"/>
      <c r="EN202" s="146"/>
      <c r="EO202" s="146"/>
      <c r="EP202" s="146"/>
      <c r="EQ202" s="146"/>
      <c r="ER202" s="146"/>
      <c r="ES202" s="146"/>
      <c r="ET202" s="146"/>
      <c r="EU202" s="146"/>
      <c r="EV202" s="146"/>
      <c r="EW202" s="146"/>
      <c r="EX202" s="146"/>
      <c r="EY202" s="146"/>
      <c r="EZ202" s="146"/>
      <c r="FA202" s="146"/>
      <c r="FB202" s="146"/>
      <c r="FC202" s="146"/>
    </row>
    <row r="203" spans="31:159">
      <c r="AF203" s="146"/>
      <c r="AG203" s="146"/>
      <c r="AH203" s="146"/>
      <c r="AI203" s="146"/>
      <c r="AJ203" s="146"/>
      <c r="AK203" s="146"/>
      <c r="AL203" s="146"/>
      <c r="AM203" s="146"/>
      <c r="AN203" s="146"/>
      <c r="AO203" s="146"/>
      <c r="AP203" s="146"/>
      <c r="AQ203" s="146"/>
      <c r="AR203" s="142"/>
      <c r="AS203" s="146"/>
      <c r="AT203" s="146"/>
      <c r="AU203" s="146"/>
      <c r="AV203" s="146"/>
      <c r="AW203" s="146"/>
      <c r="AX203" s="146"/>
      <c r="AY203" s="146"/>
      <c r="AZ203" s="146"/>
      <c r="BA203" s="146"/>
      <c r="BB203" s="146"/>
      <c r="BC203" s="146"/>
      <c r="BD203" s="142"/>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c r="CA203" s="146"/>
      <c r="CB203" s="146"/>
      <c r="CC203" s="146"/>
      <c r="CD203" s="142"/>
      <c r="CE203" s="146"/>
      <c r="CF203" s="146"/>
      <c r="CG203" s="146"/>
      <c r="CH203" s="146"/>
      <c r="CI203" s="146"/>
      <c r="CJ203" s="146"/>
      <c r="CK203" s="146"/>
      <c r="CL203" s="146"/>
      <c r="CM203" s="146"/>
      <c r="CN203" s="146"/>
      <c r="CO203" s="146"/>
      <c r="CP203" s="146"/>
      <c r="CQ203" s="146"/>
      <c r="CR203" s="142"/>
      <c r="CS203" s="146"/>
      <c r="CT203" s="146"/>
      <c r="CU203" s="146"/>
      <c r="CV203" s="146"/>
      <c r="CW203" s="146"/>
      <c r="CX203" s="146"/>
      <c r="CY203" s="146"/>
      <c r="CZ203" s="146"/>
      <c r="DA203" s="146"/>
      <c r="DB203" s="146"/>
      <c r="DC203" s="146"/>
      <c r="DD203" s="146"/>
      <c r="DE203" s="146"/>
      <c r="DF203" s="142"/>
      <c r="DG203" s="146"/>
      <c r="DH203" s="146"/>
      <c r="DI203" s="146"/>
      <c r="DJ203" s="146"/>
      <c r="DK203" s="146"/>
      <c r="DL203" s="146"/>
      <c r="DM203" s="146"/>
      <c r="DN203" s="146"/>
      <c r="DO203" s="146"/>
      <c r="DP203" s="146"/>
      <c r="DQ203" s="146"/>
      <c r="DR203" s="146"/>
      <c r="DS203" s="146"/>
      <c r="DT203" s="146"/>
      <c r="DU203" s="146"/>
      <c r="DV203" s="146"/>
      <c r="DW203" s="146"/>
      <c r="DX203" s="146"/>
      <c r="DY203" s="146"/>
      <c r="DZ203" s="146"/>
      <c r="EA203" s="146"/>
      <c r="EB203" s="146"/>
      <c r="EC203" s="146"/>
      <c r="ED203" s="146"/>
      <c r="EE203" s="146"/>
      <c r="EF203" s="146"/>
      <c r="EG203" s="146"/>
      <c r="EH203" s="146"/>
      <c r="EI203" s="146"/>
      <c r="EJ203" s="146"/>
      <c r="EK203" s="146"/>
      <c r="EL203" s="146"/>
      <c r="EM203" s="146"/>
      <c r="EN203" s="146"/>
      <c r="EO203" s="146"/>
      <c r="EP203" s="146"/>
      <c r="EQ203" s="146"/>
      <c r="ER203" s="146"/>
      <c r="ES203" s="146"/>
      <c r="ET203" s="146"/>
      <c r="EU203" s="146"/>
      <c r="EV203" s="146"/>
      <c r="EW203" s="146"/>
      <c r="EX203" s="146"/>
      <c r="EY203" s="146"/>
      <c r="EZ203" s="146"/>
      <c r="FA203" s="146"/>
      <c r="FB203" s="146"/>
      <c r="FC203" s="146"/>
    </row>
    <row r="204" spans="31:159">
      <c r="AF204" s="146"/>
      <c r="AG204" s="146"/>
      <c r="AH204" s="146"/>
      <c r="AI204" s="146"/>
      <c r="AJ204" s="146"/>
      <c r="AK204" s="146"/>
      <c r="AL204" s="146"/>
      <c r="AM204" s="146"/>
      <c r="AN204" s="146"/>
      <c r="AO204" s="146"/>
      <c r="AP204" s="146"/>
      <c r="AQ204" s="146"/>
      <c r="AR204" s="142"/>
      <c r="AS204" s="146"/>
      <c r="AT204" s="146"/>
      <c r="AU204" s="146"/>
      <c r="AV204" s="146"/>
      <c r="AW204" s="146"/>
      <c r="AX204" s="146"/>
      <c r="AY204" s="146"/>
      <c r="AZ204" s="146"/>
      <c r="BA204" s="146"/>
      <c r="BB204" s="146"/>
      <c r="BC204" s="146"/>
      <c r="BD204" s="142"/>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c r="CA204" s="146"/>
      <c r="CB204" s="146"/>
      <c r="CC204" s="146"/>
      <c r="CD204" s="142"/>
      <c r="CE204" s="146"/>
      <c r="CF204" s="146"/>
      <c r="CG204" s="146"/>
      <c r="CH204" s="146"/>
      <c r="CI204" s="146"/>
      <c r="CJ204" s="146"/>
      <c r="CK204" s="146"/>
      <c r="CL204" s="146"/>
      <c r="CM204" s="146"/>
      <c r="CN204" s="146"/>
      <c r="CO204" s="146"/>
      <c r="CP204" s="146"/>
      <c r="CQ204" s="146"/>
      <c r="CR204" s="142"/>
      <c r="CS204" s="146"/>
      <c r="CT204" s="146"/>
      <c r="CU204" s="146"/>
      <c r="CV204" s="146"/>
      <c r="CW204" s="146"/>
      <c r="CX204" s="146"/>
      <c r="CY204" s="146"/>
      <c r="CZ204" s="146"/>
      <c r="DA204" s="146"/>
      <c r="DB204" s="146"/>
      <c r="DC204" s="146"/>
      <c r="DD204" s="146"/>
      <c r="DE204" s="146"/>
      <c r="DF204" s="142"/>
      <c r="DG204" s="146"/>
      <c r="DH204" s="146"/>
      <c r="DI204" s="146"/>
      <c r="DJ204" s="146"/>
      <c r="DK204" s="146"/>
      <c r="DL204" s="146"/>
      <c r="DM204" s="146"/>
      <c r="DN204" s="146"/>
      <c r="DO204" s="146"/>
      <c r="DP204" s="146"/>
      <c r="DQ204" s="146"/>
      <c r="DR204" s="146"/>
      <c r="DS204" s="146"/>
      <c r="DT204" s="146"/>
      <c r="DU204" s="146"/>
      <c r="DV204" s="146"/>
      <c r="DW204" s="146"/>
      <c r="DX204" s="146"/>
      <c r="DY204" s="146"/>
      <c r="DZ204" s="146"/>
      <c r="EA204" s="146"/>
      <c r="EB204" s="146"/>
      <c r="EC204" s="146"/>
      <c r="ED204" s="146"/>
      <c r="EE204" s="146"/>
      <c r="EF204" s="146"/>
      <c r="EG204" s="146"/>
      <c r="EH204" s="146"/>
      <c r="EI204" s="146"/>
      <c r="EJ204" s="146"/>
      <c r="EK204" s="146"/>
      <c r="EL204" s="146"/>
      <c r="EM204" s="146"/>
      <c r="EN204" s="146"/>
      <c r="EO204" s="146"/>
      <c r="EP204" s="146"/>
      <c r="EQ204" s="146"/>
      <c r="ER204" s="146"/>
      <c r="ES204" s="146"/>
      <c r="ET204" s="146"/>
      <c r="EU204" s="146"/>
      <c r="EV204" s="146"/>
      <c r="EW204" s="146"/>
      <c r="EX204" s="146"/>
      <c r="EY204" s="146"/>
      <c r="EZ204" s="146"/>
      <c r="FA204" s="146"/>
      <c r="FB204" s="146"/>
      <c r="FC204" s="146"/>
    </row>
    <row r="205" spans="31:159">
      <c r="AF205" s="146"/>
      <c r="AG205" s="146"/>
      <c r="AH205" s="146"/>
      <c r="AI205" s="146"/>
      <c r="AJ205" s="146"/>
      <c r="AK205" s="146"/>
      <c r="AL205" s="146"/>
      <c r="AM205" s="146"/>
      <c r="AN205" s="146"/>
      <c r="AO205" s="146"/>
      <c r="AP205" s="146"/>
      <c r="AQ205" s="146"/>
      <c r="AR205" s="142"/>
      <c r="AS205" s="146"/>
      <c r="AT205" s="146"/>
      <c r="AU205" s="146"/>
      <c r="AV205" s="146"/>
      <c r="AW205" s="146"/>
      <c r="AX205" s="146"/>
      <c r="AY205" s="146"/>
      <c r="AZ205" s="146"/>
      <c r="BA205" s="146"/>
      <c r="BB205" s="146"/>
      <c r="BC205" s="146"/>
      <c r="BD205" s="142"/>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c r="CA205" s="146"/>
      <c r="CB205" s="146"/>
      <c r="CC205" s="146"/>
      <c r="CD205" s="142"/>
      <c r="CE205" s="146"/>
      <c r="CF205" s="146"/>
      <c r="CG205" s="146"/>
      <c r="CH205" s="146"/>
      <c r="CI205" s="146"/>
      <c r="CJ205" s="146"/>
      <c r="CK205" s="146"/>
      <c r="CL205" s="146"/>
      <c r="CM205" s="146"/>
      <c r="CN205" s="146"/>
      <c r="CO205" s="146"/>
      <c r="CP205" s="146"/>
      <c r="CQ205" s="146"/>
      <c r="CR205" s="142"/>
      <c r="CS205" s="146"/>
      <c r="CT205" s="146"/>
      <c r="CU205" s="146"/>
      <c r="CV205" s="146"/>
      <c r="CW205" s="146"/>
      <c r="CX205" s="146"/>
      <c r="CY205" s="146"/>
      <c r="CZ205" s="146"/>
      <c r="DA205" s="146"/>
      <c r="DB205" s="146"/>
      <c r="DC205" s="146"/>
      <c r="DD205" s="146"/>
      <c r="DE205" s="146"/>
      <c r="DF205" s="142"/>
      <c r="DG205" s="146"/>
      <c r="DH205" s="146"/>
      <c r="DI205" s="146"/>
      <c r="DJ205" s="146"/>
      <c r="DK205" s="146"/>
      <c r="DL205" s="146"/>
      <c r="DM205" s="146"/>
      <c r="DN205" s="146"/>
      <c r="DO205" s="146"/>
      <c r="DP205" s="146"/>
      <c r="DQ205" s="146"/>
      <c r="DR205" s="146"/>
      <c r="DS205" s="146"/>
      <c r="DT205" s="146"/>
      <c r="DU205" s="146"/>
      <c r="DV205" s="146"/>
      <c r="DW205" s="146"/>
      <c r="DX205" s="146"/>
      <c r="DY205" s="146"/>
      <c r="DZ205" s="146"/>
      <c r="EA205" s="146"/>
      <c r="EB205" s="146"/>
      <c r="EC205" s="146"/>
      <c r="ED205" s="146"/>
      <c r="EE205" s="146"/>
      <c r="EF205" s="146"/>
      <c r="EG205" s="146"/>
      <c r="EH205" s="146"/>
      <c r="EI205" s="146"/>
      <c r="EJ205" s="146"/>
      <c r="EK205" s="146"/>
      <c r="EL205" s="146"/>
      <c r="EM205" s="146"/>
      <c r="EN205" s="146"/>
      <c r="EO205" s="146"/>
      <c r="EP205" s="146"/>
      <c r="EQ205" s="146"/>
      <c r="ER205" s="146"/>
      <c r="ES205" s="146"/>
      <c r="ET205" s="146"/>
      <c r="EU205" s="146"/>
      <c r="EV205" s="146"/>
      <c r="EW205" s="146"/>
      <c r="EX205" s="146"/>
      <c r="EY205" s="146"/>
      <c r="EZ205" s="146"/>
      <c r="FA205" s="146"/>
      <c r="FB205" s="146"/>
      <c r="FC205" s="146"/>
    </row>
    <row r="206" spans="31:159">
      <c r="AF206" s="146"/>
      <c r="AG206" s="146"/>
      <c r="AH206" s="146"/>
      <c r="AI206" s="146"/>
      <c r="AJ206" s="146"/>
      <c r="AK206" s="146"/>
      <c r="AL206" s="146"/>
      <c r="AM206" s="146"/>
      <c r="AN206" s="146"/>
      <c r="AO206" s="146"/>
      <c r="AP206" s="146"/>
      <c r="AQ206" s="146"/>
      <c r="AR206" s="142"/>
      <c r="AS206" s="146"/>
      <c r="AT206" s="146"/>
      <c r="AU206" s="146"/>
      <c r="AV206" s="146"/>
      <c r="AW206" s="146"/>
      <c r="AX206" s="146"/>
      <c r="AY206" s="146"/>
      <c r="AZ206" s="146"/>
      <c r="BA206" s="146"/>
      <c r="BB206" s="146"/>
      <c r="BC206" s="146"/>
      <c r="BD206" s="142"/>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c r="CA206" s="146"/>
      <c r="CB206" s="146"/>
      <c r="CC206" s="146"/>
      <c r="CD206" s="142"/>
      <c r="CE206" s="146"/>
      <c r="CF206" s="146"/>
      <c r="CG206" s="146"/>
      <c r="CH206" s="146"/>
      <c r="CI206" s="146"/>
      <c r="CJ206" s="146"/>
      <c r="CK206" s="146"/>
      <c r="CL206" s="146"/>
      <c r="CM206" s="146"/>
      <c r="CN206" s="146"/>
      <c r="CO206" s="146"/>
      <c r="CP206" s="146"/>
      <c r="CQ206" s="146"/>
      <c r="CR206" s="142"/>
      <c r="CS206" s="146"/>
      <c r="CT206" s="146"/>
      <c r="CU206" s="146"/>
      <c r="CV206" s="146"/>
      <c r="CW206" s="146"/>
      <c r="CX206" s="146"/>
      <c r="CY206" s="146"/>
      <c r="CZ206" s="146"/>
      <c r="DA206" s="146"/>
      <c r="DB206" s="146"/>
      <c r="DC206" s="146"/>
      <c r="DD206" s="146"/>
      <c r="DE206" s="146"/>
      <c r="DF206" s="142"/>
      <c r="DG206" s="146"/>
      <c r="DH206" s="146"/>
      <c r="DI206" s="146"/>
      <c r="DJ206" s="146"/>
      <c r="DK206" s="146"/>
      <c r="DL206" s="146"/>
      <c r="DM206" s="146"/>
      <c r="DN206" s="146"/>
      <c r="DO206" s="146"/>
      <c r="DP206" s="146"/>
      <c r="DQ206" s="146"/>
      <c r="DR206" s="146"/>
      <c r="DS206" s="146"/>
      <c r="DT206" s="146"/>
      <c r="DU206" s="146"/>
      <c r="DV206" s="146"/>
      <c r="DW206" s="146"/>
      <c r="DX206" s="146"/>
      <c r="DY206" s="146"/>
      <c r="DZ206" s="146"/>
      <c r="EA206" s="146"/>
      <c r="EB206" s="146"/>
      <c r="EC206" s="146"/>
      <c r="ED206" s="146"/>
      <c r="EE206" s="146"/>
      <c r="EF206" s="146"/>
      <c r="EG206" s="146"/>
      <c r="EH206" s="146"/>
      <c r="EI206" s="146"/>
      <c r="EJ206" s="146"/>
      <c r="EK206" s="146"/>
      <c r="EL206" s="146"/>
      <c r="EM206" s="146"/>
      <c r="EN206" s="146"/>
      <c r="EO206" s="146"/>
      <c r="EP206" s="146"/>
      <c r="EQ206" s="146"/>
      <c r="ER206" s="146"/>
      <c r="ES206" s="146"/>
      <c r="ET206" s="146"/>
      <c r="EU206" s="146"/>
      <c r="EV206" s="146"/>
      <c r="EW206" s="146"/>
      <c r="EX206" s="146"/>
      <c r="EY206" s="146"/>
      <c r="EZ206" s="146"/>
      <c r="FA206" s="146"/>
      <c r="FB206" s="146"/>
      <c r="FC206" s="146"/>
    </row>
    <row r="207" spans="31:159">
      <c r="AF207" s="146"/>
      <c r="AG207" s="146"/>
      <c r="AH207" s="146"/>
      <c r="AI207" s="146"/>
      <c r="AJ207" s="146"/>
      <c r="AK207" s="146"/>
      <c r="AL207" s="146"/>
      <c r="AM207" s="146"/>
      <c r="AN207" s="146"/>
      <c r="AO207" s="146"/>
      <c r="AP207" s="146"/>
      <c r="AQ207" s="146"/>
      <c r="AR207" s="142"/>
      <c r="AS207" s="146"/>
      <c r="AT207" s="146"/>
      <c r="AU207" s="146"/>
      <c r="AV207" s="146"/>
      <c r="AW207" s="146"/>
      <c r="AX207" s="146"/>
      <c r="AY207" s="146"/>
      <c r="AZ207" s="146"/>
      <c r="BA207" s="146"/>
      <c r="BB207" s="146"/>
      <c r="BC207" s="146"/>
      <c r="BD207" s="142"/>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c r="CA207" s="146"/>
      <c r="CB207" s="146"/>
      <c r="CC207" s="146"/>
      <c r="CD207" s="142"/>
      <c r="CE207" s="146"/>
      <c r="CF207" s="146"/>
      <c r="CG207" s="146"/>
      <c r="CH207" s="146"/>
      <c r="CI207" s="146"/>
      <c r="CJ207" s="146"/>
      <c r="CK207" s="146"/>
      <c r="CL207" s="146"/>
      <c r="CM207" s="146"/>
      <c r="CN207" s="146"/>
      <c r="CO207" s="146"/>
      <c r="CP207" s="146"/>
      <c r="CQ207" s="146"/>
      <c r="CR207" s="142"/>
      <c r="CS207" s="146"/>
      <c r="CT207" s="146"/>
      <c r="CU207" s="146"/>
      <c r="CV207" s="146"/>
      <c r="CW207" s="146"/>
      <c r="CX207" s="146"/>
      <c r="CY207" s="146"/>
      <c r="CZ207" s="146"/>
      <c r="DA207" s="146"/>
      <c r="DB207" s="146"/>
      <c r="DC207" s="146"/>
      <c r="DD207" s="146"/>
      <c r="DE207" s="146"/>
      <c r="DF207" s="142"/>
      <c r="DG207" s="146"/>
      <c r="DH207" s="146"/>
      <c r="DI207" s="146"/>
      <c r="DJ207" s="146"/>
      <c r="DK207" s="146"/>
      <c r="DL207" s="146"/>
      <c r="DM207" s="146"/>
      <c r="DN207" s="146"/>
      <c r="DO207" s="146"/>
      <c r="DP207" s="146"/>
      <c r="DQ207" s="146"/>
      <c r="DR207" s="146"/>
      <c r="DS207" s="146"/>
      <c r="DT207" s="146"/>
      <c r="DU207" s="146"/>
      <c r="DV207" s="146"/>
      <c r="DW207" s="146"/>
      <c r="DX207" s="146"/>
      <c r="DY207" s="146"/>
      <c r="DZ207" s="146"/>
      <c r="EA207" s="146"/>
      <c r="EB207" s="146"/>
      <c r="EC207" s="146"/>
      <c r="ED207" s="146"/>
      <c r="EE207" s="146"/>
      <c r="EF207" s="146"/>
      <c r="EG207" s="146"/>
      <c r="EH207" s="146"/>
      <c r="EI207" s="146"/>
      <c r="EJ207" s="146"/>
      <c r="EK207" s="146"/>
      <c r="EL207" s="146"/>
      <c r="EM207" s="146"/>
      <c r="EN207" s="146"/>
      <c r="EO207" s="146"/>
      <c r="EP207" s="146"/>
      <c r="EQ207" s="146"/>
      <c r="ER207" s="146"/>
      <c r="ES207" s="146"/>
      <c r="ET207" s="146"/>
      <c r="EU207" s="146"/>
      <c r="EV207" s="146"/>
      <c r="EW207" s="146"/>
      <c r="EX207" s="146"/>
      <c r="EY207" s="146"/>
      <c r="EZ207" s="146"/>
      <c r="FA207" s="146"/>
      <c r="FB207" s="146"/>
      <c r="FC207" s="146"/>
    </row>
    <row r="208" spans="31:159">
      <c r="AF208" s="146"/>
      <c r="AG208" s="146"/>
      <c r="AH208" s="146"/>
      <c r="AI208" s="146"/>
      <c r="AJ208" s="146"/>
      <c r="AK208" s="146"/>
      <c r="AL208" s="146"/>
      <c r="AM208" s="146"/>
      <c r="AN208" s="146"/>
      <c r="AO208" s="146"/>
      <c r="AP208" s="146"/>
      <c r="AQ208" s="146"/>
      <c r="AR208" s="142"/>
      <c r="AS208" s="146"/>
      <c r="AT208" s="146"/>
      <c r="AU208" s="146"/>
      <c r="AV208" s="146"/>
      <c r="AW208" s="146"/>
      <c r="AX208" s="146"/>
      <c r="AY208" s="146"/>
      <c r="AZ208" s="146"/>
      <c r="BA208" s="146"/>
      <c r="BB208" s="146"/>
      <c r="BC208" s="146"/>
      <c r="BD208" s="142"/>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c r="CA208" s="146"/>
      <c r="CB208" s="146"/>
      <c r="CC208" s="146"/>
      <c r="CD208" s="142"/>
      <c r="CE208" s="146"/>
      <c r="CF208" s="146"/>
      <c r="CG208" s="146"/>
      <c r="CH208" s="146"/>
      <c r="CI208" s="146"/>
      <c r="CJ208" s="146"/>
      <c r="CK208" s="146"/>
      <c r="CL208" s="146"/>
      <c r="CM208" s="146"/>
      <c r="CN208" s="146"/>
      <c r="CO208" s="146"/>
      <c r="CP208" s="146"/>
      <c r="CQ208" s="146"/>
      <c r="CR208" s="142"/>
      <c r="CS208" s="146"/>
      <c r="CT208" s="146"/>
      <c r="CU208" s="146"/>
      <c r="CV208" s="146"/>
      <c r="CW208" s="146"/>
      <c r="CX208" s="146"/>
      <c r="CY208" s="146"/>
      <c r="CZ208" s="146"/>
      <c r="DA208" s="146"/>
      <c r="DB208" s="146"/>
      <c r="DC208" s="146"/>
      <c r="DD208" s="146"/>
      <c r="DE208" s="146"/>
      <c r="DF208" s="142"/>
      <c r="DG208" s="146"/>
      <c r="DH208" s="146"/>
      <c r="DI208" s="146"/>
      <c r="DJ208" s="146"/>
      <c r="DK208" s="146"/>
      <c r="DL208" s="146"/>
      <c r="DM208" s="146"/>
      <c r="DN208" s="146"/>
      <c r="DO208" s="146"/>
      <c r="DP208" s="146"/>
      <c r="DQ208" s="146"/>
      <c r="DR208" s="146"/>
      <c r="DS208" s="146"/>
      <c r="DT208" s="146"/>
      <c r="DU208" s="146"/>
      <c r="DV208" s="146"/>
      <c r="DW208" s="146"/>
      <c r="DX208" s="146"/>
      <c r="DY208" s="146"/>
      <c r="DZ208" s="146"/>
      <c r="EA208" s="146"/>
      <c r="EB208" s="146"/>
      <c r="EC208" s="146"/>
      <c r="ED208" s="146"/>
      <c r="EE208" s="146"/>
      <c r="EF208" s="146"/>
      <c r="EG208" s="146"/>
      <c r="EH208" s="146"/>
      <c r="EI208" s="146"/>
      <c r="EJ208" s="146"/>
      <c r="EK208" s="146"/>
      <c r="EL208" s="146"/>
      <c r="EM208" s="146"/>
      <c r="EN208" s="146"/>
      <c r="EO208" s="146"/>
      <c r="EP208" s="146"/>
      <c r="EQ208" s="146"/>
      <c r="ER208" s="146"/>
      <c r="ES208" s="146"/>
      <c r="ET208" s="146"/>
      <c r="EU208" s="146"/>
      <c r="EV208" s="146"/>
      <c r="EW208" s="146"/>
      <c r="EX208" s="146"/>
      <c r="EY208" s="146"/>
      <c r="EZ208" s="146"/>
      <c r="FA208" s="146"/>
      <c r="FB208" s="146"/>
      <c r="FC208" s="146"/>
    </row>
  </sheetData>
  <conditionalFormatting sqref="P30 R43 CS43:CV43 DU43 AT43 BR43 DU56:DX56 AT56:AW56">
    <cfRule type="expression" dxfId="359" priority="945">
      <formula>$AB$25="NO"</formula>
    </cfRule>
  </conditionalFormatting>
  <conditionalFormatting sqref="U21:U22 P19 U25:AA26 U20:AA20 R19:AA19">
    <cfRule type="expression" dxfId="358" priority="944">
      <formula>$AB$25="YES"</formula>
    </cfRule>
  </conditionalFormatting>
  <conditionalFormatting sqref="K43:M43 C42 F54:G54 K55:M55 K58:M62 C54 CD42 CG54:CH54 CL55:CN55 CD54 DF42 DI54:DJ54 DN55:DP55 DN58:DP62 DF54 AE42 AM55:AO55 AE54 Y49:AA50 CZ49:DB50 EB49:ED50 BY49:CA50 BA49:BC50 F42:G42 CG42:CH42 DI42:DJ43 AH42:AI43 CL43:CN43 CZ43:DC43 DN43:DP43 EB43:EE43 AM43:AO43 BL43:BN43 BY43:CA43 EB56:EE56 BD47:BD51 BD53:BD56 BA43:BD43 BA56:BC56">
    <cfRule type="expression" dxfId="357" priority="942">
      <formula>$CM$7="NO"</formula>
    </cfRule>
  </conditionalFormatting>
  <conditionalFormatting sqref="DJ72:DP73 DJ75:DP80">
    <cfRule type="expression" dxfId="356" priority="940">
      <formula>$DO$7="NO"</formula>
    </cfRule>
  </conditionalFormatting>
  <conditionalFormatting sqref="AI55 AG55 B7:B9 AD9 BE8:BE9 CC9 DE9 CC43 CF43 DH43 DE43 AD43 AG43 BE43 BH43 AU43:AW43 AU14:BC16 BS14:CA16 BS43:BU43 AV12:BC13 BT12:CA13">
    <cfRule type="expression" dxfId="355" priority="935">
      <formula>MOD(ROW(),2)=0</formula>
    </cfRule>
  </conditionalFormatting>
  <conditionalFormatting sqref="B34:B38">
    <cfRule type="expression" dxfId="354" priority="934">
      <formula>MOD(ROW(),2)=0</formula>
    </cfRule>
  </conditionalFormatting>
  <conditionalFormatting sqref="B67:B71">
    <cfRule type="expression" dxfId="353" priority="927">
      <formula>MOD(ROW(),2)=0</formula>
    </cfRule>
  </conditionalFormatting>
  <conditionalFormatting sqref="AD7:AD8">
    <cfRule type="expression" dxfId="352" priority="931">
      <formula>MOD(ROW(),2)=0</formula>
    </cfRule>
  </conditionalFormatting>
  <conditionalFormatting sqref="B43">
    <cfRule type="expression" dxfId="351" priority="925">
      <formula>MOD(ROW(),2)=0</formula>
    </cfRule>
  </conditionalFormatting>
  <conditionalFormatting sqref="B54">
    <cfRule type="expression" dxfId="350" priority="924">
      <formula>$CM$7="NO"</formula>
    </cfRule>
  </conditionalFormatting>
  <conditionalFormatting sqref="B55">
    <cfRule type="expression" dxfId="349" priority="922">
      <formula>MOD(ROW(),2)=0</formula>
    </cfRule>
  </conditionalFormatting>
  <conditionalFormatting sqref="N55">
    <cfRule type="expression" dxfId="348" priority="921">
      <formula>$CM$7="NO"</formula>
    </cfRule>
  </conditionalFormatting>
  <conditionalFormatting sqref="B58:B62">
    <cfRule type="expression" dxfId="347" priority="919">
      <formula>MOD(ROW(),2)=0</formula>
    </cfRule>
  </conditionalFormatting>
  <conditionalFormatting sqref="G58:G62">
    <cfRule type="expression" dxfId="346" priority="913">
      <formula>MOD(ROW(),2)=0</formula>
    </cfRule>
  </conditionalFormatting>
  <conditionalFormatting sqref="F55:G55">
    <cfRule type="expression" dxfId="345" priority="912">
      <formula>MOD(ROW(),2)=0</formula>
    </cfRule>
  </conditionalFormatting>
  <conditionalFormatting sqref="F67:G71">
    <cfRule type="expression" dxfId="344" priority="910">
      <formula>MOD(ROW(),2)=0</formula>
    </cfRule>
  </conditionalFormatting>
  <conditionalFormatting sqref="U27">
    <cfRule type="expression" dxfId="343" priority="907">
      <formula>$AB$25="YES"</formula>
    </cfRule>
  </conditionalFormatting>
  <conditionalFormatting sqref="U28:U30">
    <cfRule type="expression" dxfId="342" priority="906">
      <formula>$AB$25="YES"</formula>
    </cfRule>
  </conditionalFormatting>
  <conditionalFormatting sqref="E55">
    <cfRule type="expression" dxfId="341" priority="905">
      <formula>MOD(ROW(),2)=0</formula>
    </cfRule>
  </conditionalFormatting>
  <conditionalFormatting sqref="P83:P86">
    <cfRule type="expression" dxfId="340" priority="898">
      <formula>MOD(ROW(),2)=0</formula>
    </cfRule>
  </conditionalFormatting>
  <conditionalFormatting sqref="Y43:AA43">
    <cfRule type="expression" dxfId="339" priority="903">
      <formula>$CM$7="NO"</formula>
    </cfRule>
  </conditionalFormatting>
  <conditionalFormatting sqref="AB43">
    <cfRule type="expression" dxfId="338" priority="902">
      <formula>$CM$7="NO"</formula>
    </cfRule>
  </conditionalFormatting>
  <conditionalFormatting sqref="Y48:AA48">
    <cfRule type="expression" dxfId="337" priority="901">
      <formula>$CM$7="NO"</formula>
    </cfRule>
  </conditionalFormatting>
  <conditionalFormatting sqref="P77:P80">
    <cfRule type="expression" dxfId="336" priority="899">
      <formula>MOD(ROW(),2)=0</formula>
    </cfRule>
  </conditionalFormatting>
  <conditionalFormatting sqref="CC7:CC8">
    <cfRule type="expression" dxfId="335" priority="884">
      <formula>MOD(ROW(),2)=0</formula>
    </cfRule>
  </conditionalFormatting>
  <conditionalFormatting sqref="CC34:CC38">
    <cfRule type="expression" dxfId="334" priority="883">
      <formula>MOD(ROW(),2)=0</formula>
    </cfRule>
  </conditionalFormatting>
  <conditionalFormatting sqref="CC67:CC71">
    <cfRule type="expression" dxfId="333" priority="882">
      <formula>MOD(ROW(),2)=0</formula>
    </cfRule>
  </conditionalFormatting>
  <conditionalFormatting sqref="CG67:CH71">
    <cfRule type="expression" dxfId="332" priority="881">
      <formula>MOD(ROW(),2)=0</formula>
    </cfRule>
  </conditionalFormatting>
  <conditionalFormatting sqref="CC54">
    <cfRule type="expression" dxfId="331" priority="871">
      <formula>$CM$7="NO"</formula>
    </cfRule>
  </conditionalFormatting>
  <conditionalFormatting sqref="CO55">
    <cfRule type="expression" dxfId="330" priority="869">
      <formula>$CM$7="NO"</formula>
    </cfRule>
  </conditionalFormatting>
  <conditionalFormatting sqref="CC55">
    <cfRule type="expression" dxfId="329" priority="870">
      <formula>MOD(ROW(),2)=0</formula>
    </cfRule>
  </conditionalFormatting>
  <conditionalFormatting sqref="CG55:CH55">
    <cfRule type="expression" dxfId="328" priority="868">
      <formula>MOD(ROW(),2)=0</formula>
    </cfRule>
  </conditionalFormatting>
  <conditionalFormatting sqref="CF55">
    <cfRule type="expression" dxfId="327" priority="867">
      <formula>MOD(ROW(),2)=0</formula>
    </cfRule>
  </conditionalFormatting>
  <conditionalFormatting sqref="CL58:CN62">
    <cfRule type="expression" dxfId="326" priority="865">
      <formula>$CM$7="NO"</formula>
    </cfRule>
  </conditionalFormatting>
  <conditionalFormatting sqref="CC58:CC62">
    <cfRule type="expression" dxfId="325" priority="864">
      <formula>MOD(ROW(),2)=0</formula>
    </cfRule>
  </conditionalFormatting>
  <conditionalFormatting sqref="CH58:CH62">
    <cfRule type="expression" dxfId="324" priority="863">
      <formula>MOD(ROW(),2)=0</formula>
    </cfRule>
  </conditionalFormatting>
  <conditionalFormatting sqref="CQ77:CQ80">
    <cfRule type="expression" dxfId="323" priority="850">
      <formula>MOD(ROW(),2)=0</formula>
    </cfRule>
  </conditionalFormatting>
  <conditionalFormatting sqref="CQ88:CR88">
    <cfRule type="expression" dxfId="322" priority="848">
      <formula>MOD(ROW(),2)=0</formula>
    </cfRule>
  </conditionalFormatting>
  <conditionalFormatting sqref="CQ90:CR90">
    <cfRule type="expression" dxfId="321" priority="847">
      <formula>MOD(ROW(),2)=0</formula>
    </cfRule>
  </conditionalFormatting>
  <conditionalFormatting sqref="CZ48:DB48">
    <cfRule type="expression" dxfId="320" priority="839">
      <formula>$CM$7="NO"</formula>
    </cfRule>
  </conditionalFormatting>
  <conditionalFormatting sqref="DE7:DE8">
    <cfRule type="expression" dxfId="319" priority="832">
      <formula>MOD(ROW(),2)=0</formula>
    </cfRule>
  </conditionalFormatting>
  <conditionalFormatting sqref="DH55">
    <cfRule type="expression" dxfId="318" priority="814">
      <formula>MOD(ROW(),2)=0</formula>
    </cfRule>
  </conditionalFormatting>
  <conditionalFormatting sqref="DE34:DE38">
    <cfRule type="expression" dxfId="317" priority="824">
      <formula>MOD(ROW(),2)=0</formula>
    </cfRule>
  </conditionalFormatting>
  <conditionalFormatting sqref="DE67:DE71">
    <cfRule type="expression" dxfId="316" priority="823">
      <formula>MOD(ROW(),2)=0</formula>
    </cfRule>
  </conditionalFormatting>
  <conditionalFormatting sqref="DE54">
    <cfRule type="expression" dxfId="315" priority="821">
      <formula>$CM$7="NO"</formula>
    </cfRule>
  </conditionalFormatting>
  <conditionalFormatting sqref="DE55">
    <cfRule type="expression" dxfId="314" priority="820">
      <formula>MOD(ROW(),2)=0</formula>
    </cfRule>
  </conditionalFormatting>
  <conditionalFormatting sqref="DQ55">
    <cfRule type="expression" dxfId="313" priority="819">
      <formula>$CM$7="NO"</formula>
    </cfRule>
  </conditionalFormatting>
  <conditionalFormatting sqref="DE58:DE62">
    <cfRule type="expression" dxfId="312" priority="818">
      <formula>MOD(ROW(),2)=0</formula>
    </cfRule>
  </conditionalFormatting>
  <conditionalFormatting sqref="DJ58:DJ62">
    <cfRule type="expression" dxfId="311" priority="817">
      <formula>MOD(ROW(),2)=0</formula>
    </cfRule>
  </conditionalFormatting>
  <conditionalFormatting sqref="DI55:DJ55">
    <cfRule type="expression" dxfId="310" priority="816">
      <formula>MOD(ROW(),2)=0</formula>
    </cfRule>
  </conditionalFormatting>
  <conditionalFormatting sqref="DI67:DJ71">
    <cfRule type="expression" dxfId="309" priority="815">
      <formula>MOD(ROW(),2)=0</formula>
    </cfRule>
  </conditionalFormatting>
  <conditionalFormatting sqref="DS77:DS80">
    <cfRule type="expression" dxfId="308" priority="801">
      <formula>MOD(ROW(),2)=0</formula>
    </cfRule>
  </conditionalFormatting>
  <conditionalFormatting sqref="DS83:DS86">
    <cfRule type="expression" dxfId="307" priority="800">
      <formula>MOD(ROW(),2)=0</formula>
    </cfRule>
  </conditionalFormatting>
  <conditionalFormatting sqref="DS88:DT88">
    <cfRule type="expression" dxfId="306" priority="799">
      <formula>MOD(ROW(),2)=0</formula>
    </cfRule>
  </conditionalFormatting>
  <conditionalFormatting sqref="DS90:DT90">
    <cfRule type="expression" dxfId="305" priority="798">
      <formula>MOD(ROW(),2)=0</formula>
    </cfRule>
  </conditionalFormatting>
  <conditionalFormatting sqref="EB48:ED48">
    <cfRule type="expression" dxfId="304" priority="793">
      <formula>$CM$7="NO"</formula>
    </cfRule>
  </conditionalFormatting>
  <conditionalFormatting sqref="AD58:AD62">
    <cfRule type="expression" dxfId="303" priority="768">
      <formula>MOD(ROW(),2)=0</formula>
    </cfRule>
  </conditionalFormatting>
  <conditionalFormatting sqref="AD34:AD38">
    <cfRule type="expression" dxfId="302" priority="782">
      <formula>MOD(ROW(),2)=0</formula>
    </cfRule>
  </conditionalFormatting>
  <conditionalFormatting sqref="AD67:AD71">
    <cfRule type="expression" dxfId="301" priority="781">
      <formula>MOD(ROW(),2)=0</formula>
    </cfRule>
  </conditionalFormatting>
  <conditionalFormatting sqref="AH67:AI71">
    <cfRule type="expression" dxfId="300" priority="780">
      <formula>MOD(ROW(),2)=0</formula>
    </cfRule>
  </conditionalFormatting>
  <conditionalFormatting sqref="AH54:AI54">
    <cfRule type="expression" dxfId="299" priority="776">
      <formula>$CM$7="NO"</formula>
    </cfRule>
  </conditionalFormatting>
  <conditionalFormatting sqref="AD54">
    <cfRule type="expression" dxfId="298" priority="775">
      <formula>$CM$7="NO"</formula>
    </cfRule>
  </conditionalFormatting>
  <conditionalFormatting sqref="AD55">
    <cfRule type="expression" dxfId="297" priority="774">
      <formula>MOD(ROW(),2)=0</formula>
    </cfRule>
  </conditionalFormatting>
  <conditionalFormatting sqref="AP55">
    <cfRule type="expression" dxfId="296" priority="773">
      <formula>$CM$7="NO"</formula>
    </cfRule>
  </conditionalFormatting>
  <conditionalFormatting sqref="AF55">
    <cfRule type="expression" dxfId="295" priority="771">
      <formula>MOD(ROW(),2)=0</formula>
    </cfRule>
  </conditionalFormatting>
  <conditionalFormatting sqref="AH55">
    <cfRule type="expression" dxfId="294" priority="770">
      <formula>MOD(ROW(),2)=0</formula>
    </cfRule>
  </conditionalFormatting>
  <conditionalFormatting sqref="AM58:AO62">
    <cfRule type="expression" dxfId="293" priority="769">
      <formula>$CM$7="NO"</formula>
    </cfRule>
  </conditionalFormatting>
  <conditionalFormatting sqref="AI58:AI62">
    <cfRule type="expression" dxfId="292" priority="767">
      <formula>MOD(ROW(),2)=0</formula>
    </cfRule>
  </conditionalFormatting>
  <conditionalFormatting sqref="BE34:BE38">
    <cfRule type="expression" dxfId="291" priority="740">
      <formula>MOD(ROW(),2)=0</formula>
    </cfRule>
  </conditionalFormatting>
  <conditionalFormatting sqref="BF42">
    <cfRule type="expression" dxfId="290" priority="745">
      <formula>$CM$7="NO"</formula>
    </cfRule>
  </conditionalFormatting>
  <conditionalFormatting sqref="BA48:BC48">
    <cfRule type="expression" dxfId="289" priority="709">
      <formula>$CM$7="NO"</formula>
    </cfRule>
  </conditionalFormatting>
  <conditionalFormatting sqref="BY48:CA48">
    <cfRule type="expression" dxfId="288" priority="705">
      <formula>$CM$7="NO"</formula>
    </cfRule>
  </conditionalFormatting>
  <conditionalFormatting sqref="P13:P16">
    <cfRule type="expression" dxfId="287" priority="688">
      <formula>MOD(ROW(),2)=0</formula>
    </cfRule>
  </conditionalFormatting>
  <conditionalFormatting sqref="AR12:AR17">
    <cfRule type="expression" dxfId="286" priority="687">
      <formula>MOD(ROW(),2)=0</formula>
    </cfRule>
  </conditionalFormatting>
  <conditionalFormatting sqref="BP12:BP17">
    <cfRule type="expression" dxfId="285" priority="686">
      <formula>MOD(ROW(),2)=0</formula>
    </cfRule>
  </conditionalFormatting>
  <conditionalFormatting sqref="CQ12:CQ17">
    <cfRule type="expression" dxfId="284" priority="685">
      <formula>MOD(ROW(),2)=0</formula>
    </cfRule>
  </conditionalFormatting>
  <conditionalFormatting sqref="DS14">
    <cfRule type="expression" dxfId="283" priority="684">
      <formula>MOD(ROW(),2)=0</formula>
    </cfRule>
  </conditionalFormatting>
  <conditionalFormatting sqref="DS12:DS13 DS15:DS17">
    <cfRule type="expression" dxfId="282" priority="683">
      <formula>MOD(ROW(),2)=0</formula>
    </cfRule>
  </conditionalFormatting>
  <conditionalFormatting sqref="DU14">
    <cfRule type="expression" dxfId="281" priority="682">
      <formula>MOD(ROW(),2)=0</formula>
    </cfRule>
  </conditionalFormatting>
  <conditionalFormatting sqref="DU12:DU13 DU15:DU17">
    <cfRule type="expression" dxfId="280" priority="681">
      <formula>MOD(ROW(),2)=0</formula>
    </cfRule>
  </conditionalFormatting>
  <conditionalFormatting sqref="CS14">
    <cfRule type="expression" dxfId="279" priority="678">
      <formula>MOD(ROW(),2)=0</formula>
    </cfRule>
  </conditionalFormatting>
  <conditionalFormatting sqref="CS12:CS13 CS15:CS16">
    <cfRule type="expression" dxfId="278" priority="677">
      <formula>MOD(ROW(),2)=0</formula>
    </cfRule>
  </conditionalFormatting>
  <conditionalFormatting sqref="BG8:BG9">
    <cfRule type="expression" dxfId="277" priority="672">
      <formula>MOD(ROW(),2)=0</formula>
    </cfRule>
  </conditionalFormatting>
  <conditionalFormatting sqref="AT12:AT17">
    <cfRule type="expression" dxfId="276" priority="671">
      <formula>MOD(ROW(),2)=0</formula>
    </cfRule>
  </conditionalFormatting>
  <conditionalFormatting sqref="BR12:BR17">
    <cfRule type="expression" dxfId="275" priority="673">
      <formula>MOD(ROW(),2)=0</formula>
    </cfRule>
  </conditionalFormatting>
  <conditionalFormatting sqref="R13:R16">
    <cfRule type="expression" dxfId="274" priority="669">
      <formula>MOD(ROW(),2)=0</formula>
    </cfRule>
  </conditionalFormatting>
  <conditionalFormatting sqref="S43:T43">
    <cfRule type="expression" dxfId="273" priority="662">
      <formula>MOD(ROW(),2)=0</formula>
    </cfRule>
  </conditionalFormatting>
  <conditionalFormatting sqref="BD52">
    <cfRule type="expression" dxfId="272" priority="666">
      <formula>$CM$7="NO"</formula>
    </cfRule>
  </conditionalFormatting>
  <conditionalFormatting sqref="DJ47:DP51">
    <cfRule type="expression" dxfId="271" priority="664">
      <formula>$DO$7="NO"</formula>
    </cfRule>
  </conditionalFormatting>
  <conditionalFormatting sqref="D7:N9">
    <cfRule type="expression" dxfId="270" priority="656">
      <formula>MOD(ROW(),2)=0</formula>
    </cfRule>
  </conditionalFormatting>
  <conditionalFormatting sqref="P43">
    <cfRule type="expression" dxfId="269" priority="663">
      <formula>MOD(ROW(),2)=0</formula>
    </cfRule>
  </conditionalFormatting>
  <conditionalFormatting sqref="P48:P50">
    <cfRule type="expression" dxfId="268" priority="661">
      <formula>MOD(ROW(),2)=0</formula>
    </cfRule>
  </conditionalFormatting>
  <conditionalFormatting sqref="T49:T50">
    <cfRule type="expression" dxfId="267" priority="660">
      <formula>MOD(ROW(),2)=0</formula>
    </cfRule>
  </conditionalFormatting>
  <conditionalFormatting sqref="S48:U48 S49:S50">
    <cfRule type="expression" dxfId="266" priority="659">
      <formula>MOD(ROW(),2)=0</formula>
    </cfRule>
  </conditionalFormatting>
  <conditionalFormatting sqref="U43">
    <cfRule type="expression" dxfId="265" priority="658">
      <formula>MOD(ROW(),2)=0</formula>
    </cfRule>
  </conditionalFormatting>
  <conditionalFormatting sqref="P27:P29">
    <cfRule type="expression" dxfId="264" priority="651">
      <formula>MOD(ROW(),2)=0</formula>
    </cfRule>
  </conditionalFormatting>
  <conditionalFormatting sqref="S13:AB16">
    <cfRule type="expression" dxfId="263" priority="654">
      <formula>MOD(ROW(),2)=0</formula>
    </cfRule>
  </conditionalFormatting>
  <conditionalFormatting sqref="P21:P22">
    <cfRule type="expression" dxfId="262" priority="653">
      <formula>MOD(ROW(),2)=0</formula>
    </cfRule>
  </conditionalFormatting>
  <conditionalFormatting sqref="AB21:AB22">
    <cfRule type="expression" dxfId="261" priority="652">
      <formula>MOD(ROW(),2)=0</formula>
    </cfRule>
  </conditionalFormatting>
  <conditionalFormatting sqref="AB27:AB29">
    <cfRule type="expression" dxfId="260" priority="650">
      <formula>MOD(ROW(),2)=0</formula>
    </cfRule>
  </conditionalFormatting>
  <conditionalFormatting sqref="S27:T29">
    <cfRule type="expression" dxfId="259" priority="649">
      <formula>MOD(ROW(),2)=0</formula>
    </cfRule>
  </conditionalFormatting>
  <conditionalFormatting sqref="CG43:CH43">
    <cfRule type="expression" dxfId="258" priority="639">
      <formula>MOD(ROW(),2)=0</formula>
    </cfRule>
  </conditionalFormatting>
  <conditionalFormatting sqref="BP43">
    <cfRule type="expression" dxfId="257" priority="648">
      <formula>MOD(ROW(),2)=0</formula>
    </cfRule>
  </conditionalFormatting>
  <conditionalFormatting sqref="BP48:BP50">
    <cfRule type="expression" dxfId="256" priority="646">
      <formula>MOD(ROW(),2)=0</formula>
    </cfRule>
  </conditionalFormatting>
  <conditionalFormatting sqref="BS48:BT50">
    <cfRule type="expression" dxfId="255" priority="645">
      <formula>MOD(ROW(),2)=0</formula>
    </cfRule>
  </conditionalFormatting>
  <conditionalFormatting sqref="BU48">
    <cfRule type="expression" dxfId="254" priority="643">
      <formula>MOD(ROW(),2)=0</formula>
    </cfRule>
  </conditionalFormatting>
  <conditionalFormatting sqref="BP67">
    <cfRule type="expression" dxfId="253" priority="642">
      <formula>MOD(ROW(),2)=0</formula>
    </cfRule>
  </conditionalFormatting>
  <conditionalFormatting sqref="BR66">
    <cfRule type="expression" dxfId="252" priority="641">
      <formula>MOD(ROW(),2)=0</formula>
    </cfRule>
  </conditionalFormatting>
  <conditionalFormatting sqref="AR48:AR50">
    <cfRule type="expression" dxfId="251" priority="638">
      <formula>MOD(ROW(),2)=0</formula>
    </cfRule>
  </conditionalFormatting>
  <conditionalFormatting sqref="AU48:AV50">
    <cfRule type="expression" dxfId="250" priority="637">
      <formula>MOD(ROW(),2)=0</formula>
    </cfRule>
  </conditionalFormatting>
  <conditionalFormatting sqref="AW48">
    <cfRule type="expression" dxfId="249" priority="634">
      <formula>MOD(ROW(),2)=0</formula>
    </cfRule>
  </conditionalFormatting>
  <conditionalFormatting sqref="AR43">
    <cfRule type="expression" dxfId="248" priority="632">
      <formula>MOD(ROW(),2)=0</formula>
    </cfRule>
  </conditionalFormatting>
  <conditionalFormatting sqref="AF8:AP8 AG7:AP7">
    <cfRule type="expression" dxfId="247" priority="631">
      <formula>MOD(ROW(),2)=0</formula>
    </cfRule>
  </conditionalFormatting>
  <conditionalFormatting sqref="AF9:AP9">
    <cfRule type="expression" dxfId="246" priority="630">
      <formula>MOD(ROW(),2)=0</formula>
    </cfRule>
  </conditionalFormatting>
  <conditionalFormatting sqref="DG7:DQ7 DG8 DI8:DQ8">
    <cfRule type="expression" dxfId="245" priority="625">
      <formula>MOD(ROW(),2)=0</formula>
    </cfRule>
  </conditionalFormatting>
  <conditionalFormatting sqref="BI8:BN9">
    <cfRule type="expression" dxfId="244" priority="629">
      <formula>MOD(ROW(),2)=0</formula>
    </cfRule>
  </conditionalFormatting>
  <conditionalFormatting sqref="CE9 CG9:CO9">
    <cfRule type="expression" dxfId="243" priority="628">
      <formula>MOD(ROW(),2)=0</formula>
    </cfRule>
  </conditionalFormatting>
  <conditionalFormatting sqref="CE7:CO7 CE8 CG8:CO8">
    <cfRule type="expression" dxfId="242" priority="627">
      <formula>MOD(ROW(),2)=0</formula>
    </cfRule>
  </conditionalFormatting>
  <conditionalFormatting sqref="DG9 DI9:DQ9">
    <cfRule type="expression" dxfId="241" priority="626">
      <formula>MOD(ROW(),2)=0</formula>
    </cfRule>
  </conditionalFormatting>
  <conditionalFormatting sqref="CT14:DC14">
    <cfRule type="expression" dxfId="240" priority="622">
      <formula>MOD(ROW(),2)=0</formula>
    </cfRule>
  </conditionalFormatting>
  <conditionalFormatting sqref="CT15:DC16 CU12:DC13">
    <cfRule type="expression" dxfId="239" priority="621">
      <formula>MOD(ROW(),2)=0</formula>
    </cfRule>
  </conditionalFormatting>
  <conditionalFormatting sqref="DV14:EE14">
    <cfRule type="expression" dxfId="238" priority="620">
      <formula>MOD(ROW(),2)=0</formula>
    </cfRule>
  </conditionalFormatting>
  <conditionalFormatting sqref="DV12:EE13 DV15:EE16">
    <cfRule type="expression" dxfId="237" priority="619">
      <formula>MOD(ROW(),2)=0</formula>
    </cfRule>
  </conditionalFormatting>
  <conditionalFormatting sqref="AF7">
    <cfRule type="expression" dxfId="236" priority="618">
      <formula>MOD(ROW(),2)=0</formula>
    </cfRule>
  </conditionalFormatting>
  <conditionalFormatting sqref="E43:G43">
    <cfRule type="expression" dxfId="235" priority="617">
      <formula>MOD(ROW(),2)=0</formula>
    </cfRule>
  </conditionalFormatting>
  <conditionalFormatting sqref="DS48:DS50">
    <cfRule type="expression" dxfId="234" priority="616">
      <formula>MOD(ROW(),2)=0</formula>
    </cfRule>
  </conditionalFormatting>
  <conditionalFormatting sqref="DS43">
    <cfRule type="expression" dxfId="233" priority="615">
      <formula>MOD(ROW(),2)=0</formula>
    </cfRule>
  </conditionalFormatting>
  <conditionalFormatting sqref="DV43:DX43">
    <cfRule type="expression" dxfId="232" priority="614">
      <formula>MOD(ROW(),2)=0</formula>
    </cfRule>
  </conditionalFormatting>
  <conditionalFormatting sqref="DV48:DW50">
    <cfRule type="expression" dxfId="231" priority="613">
      <formula>MOD(ROW(),2)=0</formula>
    </cfRule>
  </conditionalFormatting>
  <conditionalFormatting sqref="DX48">
    <cfRule type="expression" dxfId="230" priority="612">
      <formula>MOD(ROW(),2)=0</formula>
    </cfRule>
  </conditionalFormatting>
  <conditionalFormatting sqref="CQ83:CQ86">
    <cfRule type="expression" dxfId="229" priority="611">
      <formula>MOD(ROW(),2)=0</formula>
    </cfRule>
  </conditionalFormatting>
  <conditionalFormatting sqref="K95:N103 B95:N102">
    <cfRule type="expression" dxfId="228" priority="610">
      <formula>MOD(ROW(),2)=0</formula>
    </cfRule>
  </conditionalFormatting>
  <conditionalFormatting sqref="B103:J103 N103">
    <cfRule type="expression" dxfId="227" priority="606">
      <formula>MOD(ROW(),2)=0</formula>
    </cfRule>
  </conditionalFormatting>
  <conditionalFormatting sqref="K103">
    <cfRule type="expression" dxfId="226" priority="599">
      <formula>MOD(ROW(),2)=0</formula>
    </cfRule>
  </conditionalFormatting>
  <conditionalFormatting sqref="L103">
    <cfRule type="expression" dxfId="225" priority="597">
      <formula>MOD(ROW(),2)=0</formula>
    </cfRule>
  </conditionalFormatting>
  <conditionalFormatting sqref="M103">
    <cfRule type="expression" dxfId="224" priority="595">
      <formula>MOD(ROW(),2)=0</formula>
    </cfRule>
  </conditionalFormatting>
  <conditionalFormatting sqref="B108:J111 B113:J115">
    <cfRule type="expression" dxfId="223" priority="588">
      <formula>MOD(ROW(),2)=0</formula>
    </cfRule>
  </conditionalFormatting>
  <conditionalFormatting sqref="B116:J116">
    <cfRule type="expression" dxfId="222" priority="584">
      <formula>MOD(ROW(),2)=0</formula>
    </cfRule>
  </conditionalFormatting>
  <conditionalFormatting sqref="D58:D62">
    <cfRule type="expression" dxfId="221" priority="566">
      <formula>MOD(ROW(),2)=0</formula>
    </cfRule>
  </conditionalFormatting>
  <conditionalFormatting sqref="C43">
    <cfRule type="expression" dxfId="220" priority="565">
      <formula>MOD(ROW(),2)=0</formula>
    </cfRule>
  </conditionalFormatting>
  <conditionalFormatting sqref="AE43">
    <cfRule type="expression" dxfId="219" priority="564">
      <formula>MOD(ROW(),2)=0</formula>
    </cfRule>
  </conditionalFormatting>
  <conditionalFormatting sqref="S77:U80">
    <cfRule type="expression" dxfId="218" priority="563">
      <formula>MOD(ROW(),2)=0</formula>
    </cfRule>
  </conditionalFormatting>
  <conditionalFormatting sqref="S83:U86">
    <cfRule type="expression" dxfId="217" priority="562">
      <formula>MOD(ROW(),2)=0</formula>
    </cfRule>
  </conditionalFormatting>
  <conditionalFormatting sqref="AF58:AF62">
    <cfRule type="expression" dxfId="216" priority="561">
      <formula>MOD(ROW(),2)=0</formula>
    </cfRule>
  </conditionalFormatting>
  <conditionalFormatting sqref="CE58:CE62">
    <cfRule type="expression" dxfId="215" priority="560">
      <formula>MOD(ROW(),2)=0</formula>
    </cfRule>
  </conditionalFormatting>
  <conditionalFormatting sqref="DG58:DG62">
    <cfRule type="expression" dxfId="214" priority="559">
      <formula>MOD(ROW(),2)=0</formula>
    </cfRule>
  </conditionalFormatting>
  <conditionalFormatting sqref="CC103:CK103">
    <cfRule type="expression" dxfId="213" priority="337">
      <formula>MOD(ROW(),2)=0</formula>
    </cfRule>
  </conditionalFormatting>
  <conditionalFormatting sqref="T21:T22">
    <cfRule type="expression" dxfId="212" priority="531">
      <formula>MOD(ROW(),2)=0</formula>
    </cfRule>
  </conditionalFormatting>
  <conditionalFormatting sqref="CQ48:CQ50">
    <cfRule type="expression" dxfId="211" priority="529">
      <formula>MOD(ROW(),2)=0</formula>
    </cfRule>
  </conditionalFormatting>
  <conditionalFormatting sqref="CR48">
    <cfRule type="expression" dxfId="210" priority="528">
      <formula>MOD(ROW(),2)=0</formula>
    </cfRule>
  </conditionalFormatting>
  <conditionalFormatting sqref="CT48:CU50">
    <cfRule type="expression" dxfId="209" priority="527">
      <formula>MOD(ROW(),2)=0</formula>
    </cfRule>
  </conditionalFormatting>
  <conditionalFormatting sqref="CV48">
    <cfRule type="expression" dxfId="208" priority="526">
      <formula>MOD(ROW(),2)=0</formula>
    </cfRule>
  </conditionalFormatting>
  <conditionalFormatting sqref="BQ48">
    <cfRule type="expression" dxfId="207" priority="523">
      <formula>MOD(ROW(),2)=0</formula>
    </cfRule>
  </conditionalFormatting>
  <conditionalFormatting sqref="Q48">
    <cfRule type="expression" dxfId="206" priority="525">
      <formula>MOD(ROW(),2)=0</formula>
    </cfRule>
  </conditionalFormatting>
  <conditionalFormatting sqref="AS48">
    <cfRule type="expression" dxfId="205" priority="524">
      <formula>MOD(ROW(),2)=0</formula>
    </cfRule>
  </conditionalFormatting>
  <conditionalFormatting sqref="CD116:CK116">
    <cfRule type="expression" dxfId="204" priority="315">
      <formula>MOD(ROW(),2)=0</formula>
    </cfRule>
  </conditionalFormatting>
  <conditionalFormatting sqref="CC95:CK102">
    <cfRule type="expression" dxfId="203" priority="341">
      <formula>MOD(ROW(),2)=0</formula>
    </cfRule>
  </conditionalFormatting>
  <conditionalFormatting sqref="CC108:CK111 CC113:CK115">
    <cfRule type="expression" dxfId="202" priority="319">
      <formula>MOD(ROW(),2)=0</formula>
    </cfRule>
  </conditionalFormatting>
  <conditionalFormatting sqref="P95:X102">
    <cfRule type="expression" dxfId="201" priority="495">
      <formula>MOD(ROW(),2)=0</formula>
    </cfRule>
  </conditionalFormatting>
  <conditionalFormatting sqref="P103:X103">
    <cfRule type="expression" dxfId="200" priority="491">
      <formula>MOD(ROW(),2)=0</formula>
    </cfRule>
  </conditionalFormatting>
  <conditionalFormatting sqref="P108:X111 P113:X115">
    <cfRule type="expression" dxfId="199" priority="473">
      <formula>MOD(ROW(),2)=0</formula>
    </cfRule>
  </conditionalFormatting>
  <conditionalFormatting sqref="P116:X116">
    <cfRule type="expression" dxfId="198" priority="469">
      <formula>MOD(ROW(),2)=0</formula>
    </cfRule>
  </conditionalFormatting>
  <conditionalFormatting sqref="AD95:AL98 AD100:AL102 AE99:AL99">
    <cfRule type="expression" dxfId="197" priority="468">
      <formula>MOD(ROW(),2)=0</formula>
    </cfRule>
  </conditionalFormatting>
  <conditionalFormatting sqref="AD103:AL103">
    <cfRule type="expression" dxfId="196" priority="464">
      <formula>MOD(ROW(),2)=0</formula>
    </cfRule>
  </conditionalFormatting>
  <conditionalFormatting sqref="AD108:AL111 AD113:AL115">
    <cfRule type="expression" dxfId="195" priority="446">
      <formula>MOD(ROW(),2)=0</formula>
    </cfRule>
  </conditionalFormatting>
  <conditionalFormatting sqref="AD116:AL116">
    <cfRule type="expression" dxfId="194" priority="442">
      <formula>MOD(ROW(),2)=0</formula>
    </cfRule>
  </conditionalFormatting>
  <conditionalFormatting sqref="AR95:AZ98 AR100:AZ102 AS99:AZ99">
    <cfRule type="expression" dxfId="193" priority="441">
      <formula>MOD(ROW(),2)=0</formula>
    </cfRule>
  </conditionalFormatting>
  <conditionalFormatting sqref="AR103:AZ103">
    <cfRule type="expression" dxfId="192" priority="437">
      <formula>MOD(ROW(),2)=0</formula>
    </cfRule>
  </conditionalFormatting>
  <conditionalFormatting sqref="BP116:BX116">
    <cfRule type="expression" dxfId="191" priority="342">
      <formula>MOD(ROW(),2)=0</formula>
    </cfRule>
  </conditionalFormatting>
  <conditionalFormatting sqref="AR108:AZ111 AR113:AZ115">
    <cfRule type="expression" dxfId="190" priority="419">
      <formula>MOD(ROW(),2)=0</formula>
    </cfRule>
  </conditionalFormatting>
  <conditionalFormatting sqref="AR116:AZ116">
    <cfRule type="expression" dxfId="189" priority="415">
      <formula>MOD(ROW(),2)=0</formula>
    </cfRule>
  </conditionalFormatting>
  <conditionalFormatting sqref="BE95:BK98 BE100:BK102 BF99:BK99">
    <cfRule type="expression" dxfId="188" priority="414">
      <formula>MOD(ROW(),2)=0</formula>
    </cfRule>
  </conditionalFormatting>
  <conditionalFormatting sqref="BE103:BK103">
    <cfRule type="expression" dxfId="187" priority="410">
      <formula>MOD(ROW(),2)=0</formula>
    </cfRule>
  </conditionalFormatting>
  <conditionalFormatting sqref="BP108:BX111 BP113:BX115">
    <cfRule type="expression" dxfId="186" priority="346">
      <formula>MOD(ROW(),2)=0</formula>
    </cfRule>
  </conditionalFormatting>
  <conditionalFormatting sqref="BE108:BK111 BE113:BK115">
    <cfRule type="expression" dxfId="185" priority="393">
      <formula>MOD(ROW(),2)=0</formula>
    </cfRule>
  </conditionalFormatting>
  <conditionalFormatting sqref="BE116:BK116">
    <cfRule type="expression" dxfId="184" priority="389">
      <formula>MOD(ROW(),2)=0</formula>
    </cfRule>
  </conditionalFormatting>
  <conditionalFormatting sqref="BP95:BX102">
    <cfRule type="expression" dxfId="183" priority="368">
      <formula>MOD(ROW(),2)=0</formula>
    </cfRule>
  </conditionalFormatting>
  <conditionalFormatting sqref="BP103:BX103">
    <cfRule type="expression" dxfId="182" priority="364">
      <formula>MOD(ROW(),2)=0</formula>
    </cfRule>
  </conditionalFormatting>
  <conditionalFormatting sqref="DE95:DM102">
    <cfRule type="expression" dxfId="181" priority="287">
      <formula>MOD(ROW(),2)=0</formula>
    </cfRule>
  </conditionalFormatting>
  <conditionalFormatting sqref="CQ95:CY102">
    <cfRule type="expression" dxfId="180" priority="314">
      <formula>MOD(ROW(),2)=0</formula>
    </cfRule>
  </conditionalFormatting>
  <conditionalFormatting sqref="CQ103:CY103">
    <cfRule type="expression" dxfId="179" priority="310">
      <formula>MOD(ROW(),2)=0</formula>
    </cfRule>
  </conditionalFormatting>
  <conditionalFormatting sqref="CQ108:CY111 CQ113:CY115">
    <cfRule type="expression" dxfId="178" priority="292">
      <formula>MOD(ROW(),2)=0</formula>
    </cfRule>
  </conditionalFormatting>
  <conditionalFormatting sqref="CR116:CY116">
    <cfRule type="expression" dxfId="177" priority="288">
      <formula>MOD(ROW(),2)=0</formula>
    </cfRule>
  </conditionalFormatting>
  <conditionalFormatting sqref="DE103:DM103">
    <cfRule type="expression" dxfId="176" priority="283">
      <formula>MOD(ROW(),2)=0</formula>
    </cfRule>
  </conditionalFormatting>
  <conditionalFormatting sqref="DE108:DM111 DE113:DM115">
    <cfRule type="expression" dxfId="175" priority="265">
      <formula>MOD(ROW(),2)=0</formula>
    </cfRule>
  </conditionalFormatting>
  <conditionalFormatting sqref="DF116:DM116">
    <cfRule type="expression" dxfId="174" priority="261">
      <formula>MOD(ROW(),2)=0</formula>
    </cfRule>
  </conditionalFormatting>
  <conditionalFormatting sqref="DS95:EA102">
    <cfRule type="expression" dxfId="173" priority="260">
      <formula>MOD(ROW(),2)=0</formula>
    </cfRule>
  </conditionalFormatting>
  <conditionalFormatting sqref="DS103:EA103">
    <cfRule type="expression" dxfId="172" priority="256">
      <formula>MOD(ROW(),2)=0</formula>
    </cfRule>
  </conditionalFormatting>
  <conditionalFormatting sqref="DS108:EA111 DS113:EA115">
    <cfRule type="expression" dxfId="171" priority="238">
      <formula>MOD(ROW(),2)=0</formula>
    </cfRule>
  </conditionalFormatting>
  <conditionalFormatting sqref="DT116:EA116">
    <cfRule type="expression" dxfId="170" priority="234">
      <formula>MOD(ROW(),2)=0</formula>
    </cfRule>
  </conditionalFormatting>
  <conditionalFormatting sqref="EG95:EO102">
    <cfRule type="expression" dxfId="169" priority="233">
      <formula>MOD(ROW(),2)=0</formula>
    </cfRule>
  </conditionalFormatting>
  <conditionalFormatting sqref="EG103:EO103">
    <cfRule type="expression" dxfId="168" priority="229">
      <formula>MOD(ROW(),2)=0</formula>
    </cfRule>
  </conditionalFormatting>
  <conditionalFormatting sqref="EG108:EO111 EG113:EO115">
    <cfRule type="expression" dxfId="167" priority="211">
      <formula>MOD(ROW(),2)=0</formula>
    </cfRule>
  </conditionalFormatting>
  <conditionalFormatting sqref="EH116:EO116">
    <cfRule type="expression" dxfId="166" priority="207">
      <formula>MOD(ROW(),2)=0</formula>
    </cfRule>
  </conditionalFormatting>
  <conditionalFormatting sqref="K108:N111 K113:N115">
    <cfRule type="expression" dxfId="165" priority="206">
      <formula>MOD(ROW(),2)=0</formula>
    </cfRule>
  </conditionalFormatting>
  <conditionalFormatting sqref="N115">
    <cfRule type="expression" dxfId="164" priority="205">
      <formula>MOD(ROW(),2)=0</formula>
    </cfRule>
  </conditionalFormatting>
  <conditionalFormatting sqref="K115">
    <cfRule type="expression" dxfId="163" priority="204">
      <formula>MOD(ROW(),2)=0</formula>
    </cfRule>
  </conditionalFormatting>
  <conditionalFormatting sqref="L115">
    <cfRule type="expression" dxfId="162" priority="203">
      <formula>MOD(ROW(),2)=0</formula>
    </cfRule>
  </conditionalFormatting>
  <conditionalFormatting sqref="M115">
    <cfRule type="expression" dxfId="161" priority="202">
      <formula>MOD(ROW(),2)=0</formula>
    </cfRule>
  </conditionalFormatting>
  <conditionalFormatting sqref="K116:N116">
    <cfRule type="expression" dxfId="160" priority="201">
      <formula>MOD(ROW(),2)=0</formula>
    </cfRule>
  </conditionalFormatting>
  <conditionalFormatting sqref="ED115">
    <cfRule type="expression" dxfId="159" priority="90">
      <formula>MOD(ROW(),2)=0</formula>
    </cfRule>
  </conditionalFormatting>
  <conditionalFormatting sqref="ES103">
    <cfRule type="expression" dxfId="158" priority="87">
      <formula>MOD(ROW(),2)=0</formula>
    </cfRule>
  </conditionalFormatting>
  <conditionalFormatting sqref="EP103">
    <cfRule type="expression" dxfId="157" priority="86">
      <formula>MOD(ROW(),2)=0</formula>
    </cfRule>
  </conditionalFormatting>
  <conditionalFormatting sqref="EQ103">
    <cfRule type="expression" dxfId="156" priority="85">
      <formula>MOD(ROW(),2)=0</formula>
    </cfRule>
  </conditionalFormatting>
  <conditionalFormatting sqref="ER103">
    <cfRule type="expression" dxfId="155" priority="84">
      <formula>MOD(ROW(),2)=0</formula>
    </cfRule>
  </conditionalFormatting>
  <conditionalFormatting sqref="EP108:ES111 EP113:ES115">
    <cfRule type="expression" dxfId="154" priority="83">
      <formula>MOD(ROW(),2)=0</formula>
    </cfRule>
  </conditionalFormatting>
  <conditionalFormatting sqref="ES115">
    <cfRule type="expression" dxfId="153" priority="82">
      <formula>MOD(ROW(),2)=0</formula>
    </cfRule>
  </conditionalFormatting>
  <conditionalFormatting sqref="EP115">
    <cfRule type="expression" dxfId="152" priority="81">
      <formula>MOD(ROW(),2)=0</formula>
    </cfRule>
  </conditionalFormatting>
  <conditionalFormatting sqref="EQ115">
    <cfRule type="expression" dxfId="151" priority="80">
      <formula>MOD(ROW(),2)=0</formula>
    </cfRule>
  </conditionalFormatting>
  <conditionalFormatting sqref="ER115">
    <cfRule type="expression" dxfId="150" priority="79">
      <formula>MOD(ROW(),2)=0</formula>
    </cfRule>
  </conditionalFormatting>
  <conditionalFormatting sqref="EP116:ES116">
    <cfRule type="expression" dxfId="149" priority="78">
      <formula>MOD(ROW(),2)=0</formula>
    </cfRule>
  </conditionalFormatting>
  <conditionalFormatting sqref="Y108:AB111 Y113:AB115">
    <cfRule type="expression" dxfId="148" priority="182">
      <formula>MOD(ROW(),2)=0</formula>
    </cfRule>
  </conditionalFormatting>
  <conditionalFormatting sqref="AB115">
    <cfRule type="expression" dxfId="147" priority="181">
      <formula>MOD(ROW(),2)=0</formula>
    </cfRule>
  </conditionalFormatting>
  <conditionalFormatting sqref="Y115">
    <cfRule type="expression" dxfId="146" priority="180">
      <formula>MOD(ROW(),2)=0</formula>
    </cfRule>
  </conditionalFormatting>
  <conditionalFormatting sqref="Z115">
    <cfRule type="expression" dxfId="145" priority="179">
      <formula>MOD(ROW(),2)=0</formula>
    </cfRule>
  </conditionalFormatting>
  <conditionalFormatting sqref="AA115">
    <cfRule type="expression" dxfId="144" priority="178">
      <formula>MOD(ROW(),2)=0</formula>
    </cfRule>
  </conditionalFormatting>
  <conditionalFormatting sqref="Y116:AB116">
    <cfRule type="expression" dxfId="143" priority="177">
      <formula>MOD(ROW(),2)=0</formula>
    </cfRule>
  </conditionalFormatting>
  <conditionalFormatting sqref="AM95:AP97 AM100:AP103">
    <cfRule type="expression" dxfId="142" priority="176">
      <formula>MOD(ROW(),2)=0</formula>
    </cfRule>
  </conditionalFormatting>
  <conditionalFormatting sqref="AP103">
    <cfRule type="expression" dxfId="141" priority="175">
      <formula>MOD(ROW(),2)=0</formula>
    </cfRule>
  </conditionalFormatting>
  <conditionalFormatting sqref="AM103">
    <cfRule type="expression" dxfId="140" priority="174">
      <formula>MOD(ROW(),2)=0</formula>
    </cfRule>
  </conditionalFormatting>
  <conditionalFormatting sqref="AN103">
    <cfRule type="expression" dxfId="139" priority="173">
      <formula>MOD(ROW(),2)=0</formula>
    </cfRule>
  </conditionalFormatting>
  <conditionalFormatting sqref="AO103">
    <cfRule type="expression" dxfId="138" priority="172">
      <formula>MOD(ROW(),2)=0</formula>
    </cfRule>
  </conditionalFormatting>
  <conditionalFormatting sqref="AM108:AP111 AM113:AP115">
    <cfRule type="expression" dxfId="137" priority="171">
      <formula>MOD(ROW(),2)=0</formula>
    </cfRule>
  </conditionalFormatting>
  <conditionalFormatting sqref="AP115">
    <cfRule type="expression" dxfId="136" priority="170">
      <formula>MOD(ROW(),2)=0</formula>
    </cfRule>
  </conditionalFormatting>
  <conditionalFormatting sqref="AM115">
    <cfRule type="expression" dxfId="135" priority="169">
      <formula>MOD(ROW(),2)=0</formula>
    </cfRule>
  </conditionalFormatting>
  <conditionalFormatting sqref="AN115">
    <cfRule type="expression" dxfId="134" priority="168">
      <formula>MOD(ROW(),2)=0</formula>
    </cfRule>
  </conditionalFormatting>
  <conditionalFormatting sqref="AO115">
    <cfRule type="expression" dxfId="133" priority="167">
      <formula>MOD(ROW(),2)=0</formula>
    </cfRule>
  </conditionalFormatting>
  <conditionalFormatting sqref="AM116:AP116">
    <cfRule type="expression" dxfId="132" priority="166">
      <formula>MOD(ROW(),2)=0</formula>
    </cfRule>
  </conditionalFormatting>
  <conditionalFormatting sqref="BA95:BC97 BA100:BC103">
    <cfRule type="expression" dxfId="131" priority="165">
      <formula>MOD(ROW(),2)=0</formula>
    </cfRule>
  </conditionalFormatting>
  <conditionalFormatting sqref="BA103">
    <cfRule type="expression" dxfId="130" priority="163">
      <formula>MOD(ROW(),2)=0</formula>
    </cfRule>
  </conditionalFormatting>
  <conditionalFormatting sqref="BB103">
    <cfRule type="expression" dxfId="129" priority="162">
      <formula>MOD(ROW(),2)=0</formula>
    </cfRule>
  </conditionalFormatting>
  <conditionalFormatting sqref="BC103">
    <cfRule type="expression" dxfId="128" priority="161">
      <formula>MOD(ROW(),2)=0</formula>
    </cfRule>
  </conditionalFormatting>
  <conditionalFormatting sqref="BA108:BC111 BA113:BC115">
    <cfRule type="expression" dxfId="127" priority="160">
      <formula>MOD(ROW(),2)=0</formula>
    </cfRule>
  </conditionalFormatting>
  <conditionalFormatting sqref="BA115">
    <cfRule type="expression" dxfId="126" priority="158">
      <formula>MOD(ROW(),2)=0</formula>
    </cfRule>
  </conditionalFormatting>
  <conditionalFormatting sqref="BB115">
    <cfRule type="expression" dxfId="125" priority="157">
      <formula>MOD(ROW(),2)=0</formula>
    </cfRule>
  </conditionalFormatting>
  <conditionalFormatting sqref="BC115">
    <cfRule type="expression" dxfId="124" priority="156">
      <formula>MOD(ROW(),2)=0</formula>
    </cfRule>
  </conditionalFormatting>
  <conditionalFormatting sqref="BA116:BC116">
    <cfRule type="expression" dxfId="123" priority="155">
      <formula>MOD(ROW(),2)=0</formula>
    </cfRule>
  </conditionalFormatting>
  <conditionalFormatting sqref="BL95:BN97 BL100:BN103">
    <cfRule type="expression" dxfId="122" priority="154">
      <formula>MOD(ROW(),2)=0</formula>
    </cfRule>
  </conditionalFormatting>
  <conditionalFormatting sqref="BL103">
    <cfRule type="expression" dxfId="121" priority="152">
      <formula>MOD(ROW(),2)=0</formula>
    </cfRule>
  </conditionalFormatting>
  <conditionalFormatting sqref="BM103">
    <cfRule type="expression" dxfId="120" priority="151">
      <formula>MOD(ROW(),2)=0</formula>
    </cfRule>
  </conditionalFormatting>
  <conditionalFormatting sqref="BN103">
    <cfRule type="expression" dxfId="119" priority="150">
      <formula>MOD(ROW(),2)=0</formula>
    </cfRule>
  </conditionalFormatting>
  <conditionalFormatting sqref="BL108:BN111 BL113:BN115">
    <cfRule type="expression" dxfId="118" priority="149">
      <formula>MOD(ROW(),2)=0</formula>
    </cfRule>
  </conditionalFormatting>
  <conditionalFormatting sqref="BL115">
    <cfRule type="expression" dxfId="117" priority="147">
      <formula>MOD(ROW(),2)=0</formula>
    </cfRule>
  </conditionalFormatting>
  <conditionalFormatting sqref="BM115">
    <cfRule type="expression" dxfId="116" priority="146">
      <formula>MOD(ROW(),2)=0</formula>
    </cfRule>
  </conditionalFormatting>
  <conditionalFormatting sqref="BN115">
    <cfRule type="expression" dxfId="115" priority="145">
      <formula>MOD(ROW(),2)=0</formula>
    </cfRule>
  </conditionalFormatting>
  <conditionalFormatting sqref="BL116:BN116">
    <cfRule type="expression" dxfId="114" priority="144">
      <formula>MOD(ROW(),2)=0</formula>
    </cfRule>
  </conditionalFormatting>
  <conditionalFormatting sqref="BY95:CA97 BY100:CA103">
    <cfRule type="expression" dxfId="113" priority="143">
      <formula>MOD(ROW(),2)=0</formula>
    </cfRule>
  </conditionalFormatting>
  <conditionalFormatting sqref="BY103">
    <cfRule type="expression" dxfId="112" priority="141">
      <formula>MOD(ROW(),2)=0</formula>
    </cfRule>
  </conditionalFormatting>
  <conditionalFormatting sqref="BZ103">
    <cfRule type="expression" dxfId="111" priority="140">
      <formula>MOD(ROW(),2)=0</formula>
    </cfRule>
  </conditionalFormatting>
  <conditionalFormatting sqref="CA103">
    <cfRule type="expression" dxfId="110" priority="139">
      <formula>MOD(ROW(),2)=0</formula>
    </cfRule>
  </conditionalFormatting>
  <conditionalFormatting sqref="BY108:CA111 BY113:CA115">
    <cfRule type="expression" dxfId="109" priority="138">
      <formula>MOD(ROW(),2)=0</formula>
    </cfRule>
  </conditionalFormatting>
  <conditionalFormatting sqref="BY115">
    <cfRule type="expression" dxfId="108" priority="136">
      <formula>MOD(ROW(),2)=0</formula>
    </cfRule>
  </conditionalFormatting>
  <conditionalFormatting sqref="BZ115">
    <cfRule type="expression" dxfId="107" priority="135">
      <formula>MOD(ROW(),2)=0</formula>
    </cfRule>
  </conditionalFormatting>
  <conditionalFormatting sqref="CA115">
    <cfRule type="expression" dxfId="106" priority="134">
      <formula>MOD(ROW(),2)=0</formula>
    </cfRule>
  </conditionalFormatting>
  <conditionalFormatting sqref="BY116:CA116">
    <cfRule type="expression" dxfId="105" priority="133">
      <formula>MOD(ROW(),2)=0</formula>
    </cfRule>
  </conditionalFormatting>
  <conditionalFormatting sqref="CL95:CO97 CL100:CO103">
    <cfRule type="expression" dxfId="104" priority="132">
      <formula>MOD(ROW(),2)=0</formula>
    </cfRule>
  </conditionalFormatting>
  <conditionalFormatting sqref="CO103">
    <cfRule type="expression" dxfId="103" priority="131">
      <formula>MOD(ROW(),2)=0</formula>
    </cfRule>
  </conditionalFormatting>
  <conditionalFormatting sqref="CL103">
    <cfRule type="expression" dxfId="102" priority="130">
      <formula>MOD(ROW(),2)=0</formula>
    </cfRule>
  </conditionalFormatting>
  <conditionalFormatting sqref="CM103">
    <cfRule type="expression" dxfId="101" priority="129">
      <formula>MOD(ROW(),2)=0</formula>
    </cfRule>
  </conditionalFormatting>
  <conditionalFormatting sqref="CN103">
    <cfRule type="expression" dxfId="100" priority="128">
      <formula>MOD(ROW(),2)=0</formula>
    </cfRule>
  </conditionalFormatting>
  <conditionalFormatting sqref="CL108:CO111 CL113:CO115">
    <cfRule type="expression" dxfId="99" priority="127">
      <formula>MOD(ROW(),2)=0</formula>
    </cfRule>
  </conditionalFormatting>
  <conditionalFormatting sqref="CO115">
    <cfRule type="expression" dxfId="98" priority="126">
      <formula>MOD(ROW(),2)=0</formula>
    </cfRule>
  </conditionalFormatting>
  <conditionalFormatting sqref="CL115">
    <cfRule type="expression" dxfId="97" priority="125">
      <formula>MOD(ROW(),2)=0</formula>
    </cfRule>
  </conditionalFormatting>
  <conditionalFormatting sqref="CM115">
    <cfRule type="expression" dxfId="96" priority="124">
      <formula>MOD(ROW(),2)=0</formula>
    </cfRule>
  </conditionalFormatting>
  <conditionalFormatting sqref="CN115">
    <cfRule type="expression" dxfId="95" priority="123">
      <formula>MOD(ROW(),2)=0</formula>
    </cfRule>
  </conditionalFormatting>
  <conditionalFormatting sqref="CL116:CO116">
    <cfRule type="expression" dxfId="94" priority="122">
      <formula>MOD(ROW(),2)=0</formula>
    </cfRule>
  </conditionalFormatting>
  <conditionalFormatting sqref="CZ95:DC97 CZ100:DC103">
    <cfRule type="expression" dxfId="93" priority="121">
      <formula>MOD(ROW(),2)=0</formula>
    </cfRule>
  </conditionalFormatting>
  <conditionalFormatting sqref="DC103">
    <cfRule type="expression" dxfId="92" priority="120">
      <formula>MOD(ROW(),2)=0</formula>
    </cfRule>
  </conditionalFormatting>
  <conditionalFormatting sqref="CZ103">
    <cfRule type="expression" dxfId="91" priority="119">
      <formula>MOD(ROW(),2)=0</formula>
    </cfRule>
  </conditionalFormatting>
  <conditionalFormatting sqref="DA103">
    <cfRule type="expression" dxfId="90" priority="118">
      <formula>MOD(ROW(),2)=0</formula>
    </cfRule>
  </conditionalFormatting>
  <conditionalFormatting sqref="DB103">
    <cfRule type="expression" dxfId="89" priority="117">
      <formula>MOD(ROW(),2)=0</formula>
    </cfRule>
  </conditionalFormatting>
  <conditionalFormatting sqref="CZ108:DC111 CZ113:DC115">
    <cfRule type="expression" dxfId="88" priority="116">
      <formula>MOD(ROW(),2)=0</formula>
    </cfRule>
  </conditionalFormatting>
  <conditionalFormatting sqref="DC115">
    <cfRule type="expression" dxfId="87" priority="115">
      <formula>MOD(ROW(),2)=0</formula>
    </cfRule>
  </conditionalFormatting>
  <conditionalFormatting sqref="CZ115">
    <cfRule type="expression" dxfId="86" priority="114">
      <formula>MOD(ROW(),2)=0</formula>
    </cfRule>
  </conditionalFormatting>
  <conditionalFormatting sqref="DA115">
    <cfRule type="expression" dxfId="85" priority="113">
      <formula>MOD(ROW(),2)=0</formula>
    </cfRule>
  </conditionalFormatting>
  <conditionalFormatting sqref="DB115">
    <cfRule type="expression" dxfId="84" priority="112">
      <formula>MOD(ROW(),2)=0</formula>
    </cfRule>
  </conditionalFormatting>
  <conditionalFormatting sqref="CZ116:DC116">
    <cfRule type="expression" dxfId="83" priority="111">
      <formula>MOD(ROW(),2)=0</formula>
    </cfRule>
  </conditionalFormatting>
  <conditionalFormatting sqref="DN95:DQ97 DN100:DQ103">
    <cfRule type="expression" dxfId="82" priority="110">
      <formula>MOD(ROW(),2)=0</formula>
    </cfRule>
  </conditionalFormatting>
  <conditionalFormatting sqref="DQ103">
    <cfRule type="expression" dxfId="81" priority="109">
      <formula>MOD(ROW(),2)=0</formula>
    </cfRule>
  </conditionalFormatting>
  <conditionalFormatting sqref="DN103">
    <cfRule type="expression" dxfId="80" priority="108">
      <formula>MOD(ROW(),2)=0</formula>
    </cfRule>
  </conditionalFormatting>
  <conditionalFormatting sqref="DO103">
    <cfRule type="expression" dxfId="79" priority="107">
      <formula>MOD(ROW(),2)=0</formula>
    </cfRule>
  </conditionalFormatting>
  <conditionalFormatting sqref="DP103">
    <cfRule type="expression" dxfId="78" priority="106">
      <formula>MOD(ROW(),2)=0</formula>
    </cfRule>
  </conditionalFormatting>
  <conditionalFormatting sqref="DN108:DQ111 DN113:DQ115">
    <cfRule type="expression" dxfId="77" priority="105">
      <formula>MOD(ROW(),2)=0</formula>
    </cfRule>
  </conditionalFormatting>
  <conditionalFormatting sqref="DQ115">
    <cfRule type="expression" dxfId="76" priority="104">
      <formula>MOD(ROW(),2)=0</formula>
    </cfRule>
  </conditionalFormatting>
  <conditionalFormatting sqref="DN115">
    <cfRule type="expression" dxfId="75" priority="103">
      <formula>MOD(ROW(),2)=0</formula>
    </cfRule>
  </conditionalFormatting>
  <conditionalFormatting sqref="DO115">
    <cfRule type="expression" dxfId="74" priority="102">
      <formula>MOD(ROW(),2)=0</formula>
    </cfRule>
  </conditionalFormatting>
  <conditionalFormatting sqref="DP115">
    <cfRule type="expression" dxfId="73" priority="101">
      <formula>MOD(ROW(),2)=0</formula>
    </cfRule>
  </conditionalFormatting>
  <conditionalFormatting sqref="DN116:DQ116">
    <cfRule type="expression" dxfId="72" priority="100">
      <formula>MOD(ROW(),2)=0</formula>
    </cfRule>
  </conditionalFormatting>
  <conditionalFormatting sqref="EB95:EE97 EB100:EE103">
    <cfRule type="expression" dxfId="71" priority="99">
      <formula>MOD(ROW(),2)=0</formula>
    </cfRule>
  </conditionalFormatting>
  <conditionalFormatting sqref="EE103">
    <cfRule type="expression" dxfId="70" priority="98">
      <formula>MOD(ROW(),2)=0</formula>
    </cfRule>
  </conditionalFormatting>
  <conditionalFormatting sqref="EB103">
    <cfRule type="expression" dxfId="69" priority="97">
      <formula>MOD(ROW(),2)=0</formula>
    </cfRule>
  </conditionalFormatting>
  <conditionalFormatting sqref="EC103">
    <cfRule type="expression" dxfId="68" priority="96">
      <formula>MOD(ROW(),2)=0</formula>
    </cfRule>
  </conditionalFormatting>
  <conditionalFormatting sqref="ED103">
    <cfRule type="expression" dxfId="67" priority="95">
      <formula>MOD(ROW(),2)=0</formula>
    </cfRule>
  </conditionalFormatting>
  <conditionalFormatting sqref="EB108:EE111 EB113:EE115">
    <cfRule type="expression" dxfId="66" priority="94">
      <formula>MOD(ROW(),2)=0</formula>
    </cfRule>
  </conditionalFormatting>
  <conditionalFormatting sqref="EE115">
    <cfRule type="expression" dxfId="65" priority="93">
      <formula>MOD(ROW(),2)=0</formula>
    </cfRule>
  </conditionalFormatting>
  <conditionalFormatting sqref="EB115">
    <cfRule type="expression" dxfId="64" priority="92">
      <formula>MOD(ROW(),2)=0</formula>
    </cfRule>
  </conditionalFormatting>
  <conditionalFormatting sqref="EC115">
    <cfRule type="expression" dxfId="63" priority="91">
      <formula>MOD(ROW(),2)=0</formula>
    </cfRule>
  </conditionalFormatting>
  <conditionalFormatting sqref="EB116:EE116">
    <cfRule type="expression" dxfId="62" priority="89">
      <formula>MOD(ROW(),2)=0</formula>
    </cfRule>
  </conditionalFormatting>
  <conditionalFormatting sqref="EP95:ES103">
    <cfRule type="expression" dxfId="61" priority="88">
      <formula>MOD(ROW(),2)=0</formula>
    </cfRule>
  </conditionalFormatting>
  <conditionalFormatting sqref="Y95:AB97 Y100:AB103">
    <cfRule type="expression" dxfId="60" priority="77">
      <formula>MOD(ROW(),2)=0</formula>
    </cfRule>
  </conditionalFormatting>
  <conditionalFormatting sqref="AB103">
    <cfRule type="expression" dxfId="59" priority="76">
      <formula>MOD(ROW(),2)=0</formula>
    </cfRule>
  </conditionalFormatting>
  <conditionalFormatting sqref="Y103">
    <cfRule type="expression" dxfId="58" priority="75">
      <formula>MOD(ROW(),2)=0</formula>
    </cfRule>
  </conditionalFormatting>
  <conditionalFormatting sqref="Z103">
    <cfRule type="expression" dxfId="57" priority="74">
      <formula>MOD(ROW(),2)=0</formula>
    </cfRule>
  </conditionalFormatting>
  <conditionalFormatting sqref="AA103">
    <cfRule type="expression" dxfId="56" priority="73">
      <formula>MOD(ROW(),2)=0</formula>
    </cfRule>
  </conditionalFormatting>
  <conditionalFormatting sqref="EB98:EE99">
    <cfRule type="expression" dxfId="55" priority="60">
      <formula>MOD(ROW(),2)=0</formula>
    </cfRule>
  </conditionalFormatting>
  <conditionalFormatting sqref="EP112:ES112">
    <cfRule type="expression" dxfId="54" priority="38">
      <formula>MOD(ROW(),2)=0</formula>
    </cfRule>
  </conditionalFormatting>
  <conditionalFormatting sqref="AD99">
    <cfRule type="expression" dxfId="53" priority="72">
      <formula>MOD(ROW(),2)=0</formula>
    </cfRule>
  </conditionalFormatting>
  <conditionalFormatting sqref="AR99">
    <cfRule type="expression" dxfId="52" priority="71">
      <formula>MOD(ROW(),2)=0</formula>
    </cfRule>
  </conditionalFormatting>
  <conditionalFormatting sqref="BE99">
    <cfRule type="expression" dxfId="51" priority="70">
      <formula>MOD(ROW(),2)=0</formula>
    </cfRule>
  </conditionalFormatting>
  <conditionalFormatting sqref="Y98:AB99">
    <cfRule type="expression" dxfId="50" priority="69">
      <formula>MOD(ROW(),2)=0</formula>
    </cfRule>
  </conditionalFormatting>
  <conditionalFormatting sqref="AM98:AP99">
    <cfRule type="expression" dxfId="49" priority="68">
      <formula>MOD(ROW(),2)=0</formula>
    </cfRule>
  </conditionalFormatting>
  <conditionalFormatting sqref="BA98:BD99">
    <cfRule type="expression" dxfId="48" priority="67">
      <formula>MOD(ROW(),2)=0</formula>
    </cfRule>
  </conditionalFormatting>
  <conditionalFormatting sqref="BL98:BO99">
    <cfRule type="expression" dxfId="47" priority="66">
      <formula>MOD(ROW(),2)=0</formula>
    </cfRule>
  </conditionalFormatting>
  <conditionalFormatting sqref="BY98:CA99">
    <cfRule type="expression" dxfId="46" priority="65">
      <formula>MOD(ROW(),2)=0</formula>
    </cfRule>
  </conditionalFormatting>
  <conditionalFormatting sqref="CL98:CO99">
    <cfRule type="expression" dxfId="45" priority="63">
      <formula>MOD(ROW(),2)=0</formula>
    </cfRule>
  </conditionalFormatting>
  <conditionalFormatting sqref="CZ98:DC99">
    <cfRule type="expression" dxfId="44" priority="62">
      <formula>MOD(ROW(),2)=0</formula>
    </cfRule>
  </conditionalFormatting>
  <conditionalFormatting sqref="DN98:DQ99">
    <cfRule type="expression" dxfId="43" priority="61">
      <formula>MOD(ROW(),2)=0</formula>
    </cfRule>
  </conditionalFormatting>
  <conditionalFormatting sqref="B112:J112">
    <cfRule type="expression" dxfId="42" priority="59">
      <formula>MOD(ROW(),2)=0</formula>
    </cfRule>
  </conditionalFormatting>
  <conditionalFormatting sqref="CC112:CK112">
    <cfRule type="expression" dxfId="41" priority="53">
      <formula>MOD(ROW(),2)=0</formula>
    </cfRule>
  </conditionalFormatting>
  <conditionalFormatting sqref="P112:X112">
    <cfRule type="expression" dxfId="40" priority="58">
      <formula>MOD(ROW(),2)=0</formula>
    </cfRule>
  </conditionalFormatting>
  <conditionalFormatting sqref="AD112:AL112">
    <cfRule type="expression" dxfId="39" priority="57">
      <formula>MOD(ROW(),2)=0</formula>
    </cfRule>
  </conditionalFormatting>
  <conditionalFormatting sqref="AR112:AZ112">
    <cfRule type="expression" dxfId="38" priority="56">
      <formula>MOD(ROW(),2)=0</formula>
    </cfRule>
  </conditionalFormatting>
  <conditionalFormatting sqref="BP112:BX112">
    <cfRule type="expression" dxfId="37" priority="54">
      <formula>MOD(ROW(),2)=0</formula>
    </cfRule>
  </conditionalFormatting>
  <conditionalFormatting sqref="BE112:BK112">
    <cfRule type="expression" dxfId="36" priority="55">
      <formula>MOD(ROW(),2)=0</formula>
    </cfRule>
  </conditionalFormatting>
  <conditionalFormatting sqref="CQ112:CY112">
    <cfRule type="expression" dxfId="35" priority="52">
      <formula>MOD(ROW(),2)=0</formula>
    </cfRule>
  </conditionalFormatting>
  <conditionalFormatting sqref="DE112:DM112">
    <cfRule type="expression" dxfId="34" priority="51">
      <formula>MOD(ROW(),2)=0</formula>
    </cfRule>
  </conditionalFormatting>
  <conditionalFormatting sqref="DS112:EA112">
    <cfRule type="expression" dxfId="33" priority="50">
      <formula>MOD(ROW(),2)=0</formula>
    </cfRule>
  </conditionalFormatting>
  <conditionalFormatting sqref="EG112:EO112">
    <cfRule type="expression" dxfId="32" priority="49">
      <formula>MOD(ROW(),2)=0</formula>
    </cfRule>
  </conditionalFormatting>
  <conditionalFormatting sqref="K112:N112">
    <cfRule type="expression" dxfId="31" priority="48">
      <formula>MOD(ROW(),2)=0</formula>
    </cfRule>
  </conditionalFormatting>
  <conditionalFormatting sqref="Y112:AB112">
    <cfRule type="expression" dxfId="30" priority="47">
      <formula>MOD(ROW(),2)=0</formula>
    </cfRule>
  </conditionalFormatting>
  <conditionalFormatting sqref="AM112:AP112">
    <cfRule type="expression" dxfId="29" priority="46">
      <formula>MOD(ROW(),2)=0</formula>
    </cfRule>
  </conditionalFormatting>
  <conditionalFormatting sqref="BA112:BC112">
    <cfRule type="expression" dxfId="28" priority="45">
      <formula>MOD(ROW(),2)=0</formula>
    </cfRule>
  </conditionalFormatting>
  <conditionalFormatting sqref="BL112:BN112">
    <cfRule type="expression" dxfId="27" priority="44">
      <formula>MOD(ROW(),2)=0</formula>
    </cfRule>
  </conditionalFormatting>
  <conditionalFormatting sqref="BY112:CA112">
    <cfRule type="expression" dxfId="26" priority="43">
      <formula>MOD(ROW(),2)=0</formula>
    </cfRule>
  </conditionalFormatting>
  <conditionalFormatting sqref="CL112:CO112">
    <cfRule type="expression" dxfId="25" priority="42">
      <formula>MOD(ROW(),2)=0</formula>
    </cfRule>
  </conditionalFormatting>
  <conditionalFormatting sqref="CZ112:DC112">
    <cfRule type="expression" dxfId="24" priority="41">
      <formula>MOD(ROW(),2)=0</formula>
    </cfRule>
  </conditionalFormatting>
  <conditionalFormatting sqref="DN112:DQ112">
    <cfRule type="expression" dxfId="23" priority="40">
      <formula>MOD(ROW(),2)=0</formula>
    </cfRule>
  </conditionalFormatting>
  <conditionalFormatting sqref="EB112:EE112">
    <cfRule type="expression" dxfId="22" priority="39">
      <formula>MOD(ROW(),2)=0</formula>
    </cfRule>
  </conditionalFormatting>
  <conditionalFormatting sqref="Q83:Q86">
    <cfRule type="expression" dxfId="21" priority="37">
      <formula>MOD(ROW(),2)=0</formula>
    </cfRule>
  </conditionalFormatting>
  <conditionalFormatting sqref="CR83:CR86">
    <cfRule type="expression" dxfId="20" priority="36">
      <formula>MOD(ROW(),2)=0</formula>
    </cfRule>
  </conditionalFormatting>
  <conditionalFormatting sqref="DT83:DT86">
    <cfRule type="expression" dxfId="19" priority="35">
      <formula>MOD(ROW(),2)=0</formula>
    </cfRule>
  </conditionalFormatting>
  <conditionalFormatting sqref="D54">
    <cfRule type="expression" dxfId="18" priority="34">
      <formula>$CM$7="NO"</formula>
    </cfRule>
  </conditionalFormatting>
  <conditionalFormatting sqref="D53">
    <cfRule type="expression" dxfId="17" priority="33">
      <formula>$CM$7="NO"</formula>
    </cfRule>
  </conditionalFormatting>
  <conditionalFormatting sqref="AU12">
    <cfRule type="expression" dxfId="16" priority="24">
      <formula>MOD(ROW(),2)=0</formula>
    </cfRule>
  </conditionalFormatting>
  <conditionalFormatting sqref="BH8">
    <cfRule type="expression" dxfId="15" priority="13">
      <formula>MOD(ROW(),2)=0</formula>
    </cfRule>
  </conditionalFormatting>
  <conditionalFormatting sqref="BS12:BS13">
    <cfRule type="expression" dxfId="14" priority="12">
      <formula>MOD(ROW(),2)=0</formula>
    </cfRule>
  </conditionalFormatting>
  <conditionalFormatting sqref="CF9">
    <cfRule type="expression" dxfId="13" priority="11">
      <formula>MOD(ROW(),2)=0</formula>
    </cfRule>
  </conditionalFormatting>
  <conditionalFormatting sqref="CF8">
    <cfRule type="expression" dxfId="12" priority="10">
      <formula>MOD(ROW(),2)=0</formula>
    </cfRule>
  </conditionalFormatting>
  <conditionalFormatting sqref="CT12:CT13">
    <cfRule type="expression" dxfId="11" priority="9">
      <formula>MOD(ROW(),2)=0</formula>
    </cfRule>
  </conditionalFormatting>
  <conditionalFormatting sqref="DH8">
    <cfRule type="expression" dxfId="10" priority="7">
      <formula>MOD(ROW(),2)=0</formula>
    </cfRule>
  </conditionalFormatting>
  <conditionalFormatting sqref="DH9">
    <cfRule type="expression" dxfId="9" priority="8">
      <formula>MOD(ROW(),2)=0</formula>
    </cfRule>
  </conditionalFormatting>
  <conditionalFormatting sqref="CC116">
    <cfRule type="expression" dxfId="8" priority="6">
      <formula>MOD(ROW(),2)=0</formula>
    </cfRule>
  </conditionalFormatting>
  <conditionalFormatting sqref="CQ116">
    <cfRule type="expression" dxfId="7" priority="4">
      <formula>MOD(ROW(),2)=0</formula>
    </cfRule>
  </conditionalFormatting>
  <conditionalFormatting sqref="DE116">
    <cfRule type="expression" dxfId="6" priority="3">
      <formula>MOD(ROW(),2)=0</formula>
    </cfRule>
  </conditionalFormatting>
  <conditionalFormatting sqref="DS116">
    <cfRule type="expression" dxfId="5" priority="2">
      <formula>MOD(ROW(),2)=0</formula>
    </cfRule>
  </conditionalFormatting>
  <conditionalFormatting sqref="EG116">
    <cfRule type="expression" dxfId="4" priority="1">
      <formula>MOD(ROW(),2)=0</formula>
    </cfRule>
  </conditionalFormatting>
  <dataValidations disablePrompts="1" count="4">
    <dataValidation type="list" allowBlank="1" showInputMessage="1" showErrorMessage="1" sqref="AG133:AG135">
      <formula1>INDIRECT(Astart&amp;":"&amp;Aend)</formula1>
    </dataValidation>
    <dataValidation type="whole" allowBlank="1" showInputMessage="1" showErrorMessage="1" sqref="CR14 DT14">
      <formula1>1</formula1>
      <formula2>500</formula2>
    </dataValidation>
    <dataValidation type="whole" allowBlank="1" showInputMessage="1" showErrorMessage="1" sqref="Q14">
      <formula1>1</formula1>
      <formula2>365*24</formula2>
    </dataValidation>
    <dataValidation type="list" allowBlank="1" showInputMessage="1" showErrorMessage="1" sqref="DF40 DF45">
      <formula1>#REF!</formula1>
    </dataValidation>
  </dataValidations>
  <pageMargins left="0.7" right="0.7" top="0.75" bottom="0.75" header="0.3" footer="0.3"/>
  <pageSetup paperSize="9" scale="23" orientation="portrait" r:id="rId1"/>
  <colBreaks count="1" manualBreakCount="1">
    <brk id="1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0" tint="-0.499984740745262"/>
  </sheetPr>
  <dimension ref="B2:M169"/>
  <sheetViews>
    <sheetView workbookViewId="0"/>
  </sheetViews>
  <sheetFormatPr baseColWidth="10" defaultColWidth="12.5703125" defaultRowHeight="15"/>
  <cols>
    <col min="1" max="1" width="4.140625" style="3" customWidth="1"/>
    <col min="2" max="2" width="32.140625" style="3" customWidth="1"/>
    <col min="3" max="3" width="23.5703125" style="3" customWidth="1"/>
    <col min="4" max="4" width="30.7109375" style="3" customWidth="1"/>
    <col min="5" max="6" width="12.7109375" style="3" customWidth="1"/>
    <col min="7" max="7" width="12.140625" style="3" customWidth="1"/>
    <col min="8" max="16384" width="12.5703125" style="3"/>
  </cols>
  <sheetData>
    <row r="2" spans="2:7" ht="18.75">
      <c r="B2" s="1" t="str">
        <f>VLOOKUP("General_Header",Hidden_Translations!$B$11:$K$1184,Hidden_Translations!$C$8,FALSE)</f>
        <v>Improving Cold Chain Energy Efficiency (ICCEE project)</v>
      </c>
      <c r="C2" s="2"/>
      <c r="D2" s="2"/>
      <c r="E2" s="2"/>
      <c r="F2" s="2"/>
      <c r="G2" s="2"/>
    </row>
    <row r="4" spans="2:7" ht="18.75">
      <c r="B4" s="4" t="str">
        <f>VLOOKUP("Hidden_Lists_Header",Hidden_Translations!$B$11:$K$1184,Hidden_Translations!$C$8,FALSE)</f>
        <v>#2: Life cycle assessment: Lists</v>
      </c>
      <c r="C4" s="5"/>
      <c r="D4" s="5"/>
      <c r="E4" s="5"/>
      <c r="F4" s="5"/>
      <c r="G4" s="5"/>
    </row>
    <row r="6" spans="2:7" ht="15" customHeight="1">
      <c r="B6" s="503" t="str">
        <f>VLOOKUP("Hidden_Lists_Header_Text",Hidden_Translations!$B$11:$K$1184,Hidden_Translations!$C$8,FALSE)</f>
        <v>Internal lists only. Please do not modify this sheet unless you know what you are doing.</v>
      </c>
      <c r="C6" s="503"/>
      <c r="D6" s="503"/>
      <c r="E6" s="503"/>
      <c r="F6" s="503"/>
      <c r="G6" s="503"/>
    </row>
    <row r="7" spans="2:7" ht="15" customHeight="1">
      <c r="B7" s="34"/>
      <c r="C7" s="34"/>
      <c r="D7" s="34"/>
      <c r="E7" s="34"/>
      <c r="F7" s="34"/>
      <c r="G7" s="34"/>
    </row>
    <row r="8" spans="2:7">
      <c r="B8" s="10" t="str">
        <f>VLOOKUP("Hidden_Lists_List",Hidden_Translations!$B$11:$K$1184,Hidden_Translations!$C$8,FALSE)</f>
        <v>List</v>
      </c>
      <c r="C8" s="10" t="str">
        <f>VLOOKUP("Hidden_Lists_Entry",Hidden_Translations!$B$11:$K$1184,Hidden_Translations!$C$8,FALSE)</f>
        <v>Entry</v>
      </c>
      <c r="D8" s="10"/>
      <c r="E8" s="10"/>
      <c r="F8" s="10"/>
      <c r="G8" s="10"/>
    </row>
    <row r="10" spans="2:7" ht="15.75" customHeight="1">
      <c r="B10" s="13" t="str">
        <f>VLOOKUP("Hidden_Lists_Languages",Hidden_Translations!$B$11:$K$1184,Hidden_Translations!$C$8,FALSE)</f>
        <v>Languages</v>
      </c>
      <c r="C10" s="3" t="s">
        <v>3</v>
      </c>
      <c r="D10" s="12">
        <v>1</v>
      </c>
      <c r="F10" s="12"/>
      <c r="G10" s="12"/>
    </row>
    <row r="11" spans="2:7">
      <c r="C11" s="3" t="s">
        <v>6</v>
      </c>
      <c r="D11" s="3">
        <v>2</v>
      </c>
    </row>
    <row r="12" spans="2:7">
      <c r="C12" s="3" t="s">
        <v>7</v>
      </c>
      <c r="D12" s="3">
        <v>3</v>
      </c>
    </row>
    <row r="13" spans="2:7">
      <c r="C13" s="3" t="s">
        <v>8</v>
      </c>
      <c r="D13" s="3">
        <v>4</v>
      </c>
    </row>
    <row r="14" spans="2:7">
      <c r="C14" s="15" t="s">
        <v>1094</v>
      </c>
      <c r="D14" s="3">
        <v>5</v>
      </c>
    </row>
    <row r="15" spans="2:7">
      <c r="C15" s="3" t="s">
        <v>9</v>
      </c>
      <c r="D15" s="3">
        <v>6</v>
      </c>
    </row>
    <row r="16" spans="2:7">
      <c r="C16" s="3" t="s">
        <v>10</v>
      </c>
      <c r="D16" s="3">
        <v>7</v>
      </c>
    </row>
    <row r="17" spans="2:8">
      <c r="C17" s="3" t="s">
        <v>11</v>
      </c>
      <c r="D17" s="3">
        <v>8</v>
      </c>
    </row>
    <row r="18" spans="2:8">
      <c r="H18" s="357" t="s">
        <v>321</v>
      </c>
    </row>
    <row r="19" spans="2:8">
      <c r="B19" s="30" t="str">
        <f>VLOOKUP("Hidden_Lists_Yes_No",Hidden_Translations!$B$11:$K$1184,Hidden_Translations!$C$8,FALSE)</f>
        <v>Yes No</v>
      </c>
      <c r="C19" s="30" t="str">
        <f>VLOOKUP("Hidden_Lists_No",Hidden_Translations!$B$11:$K$1184,Hidden_Translations!$C$8,FALSE)</f>
        <v>No</v>
      </c>
      <c r="E19" s="30"/>
    </row>
    <row r="20" spans="2:8">
      <c r="C20" s="30" t="str">
        <f>VLOOKUP("Hidden_Lists_Yes",Hidden_Translations!$B$11:$K$1184,Hidden_Translations!$C$8,FALSE)</f>
        <v>Yes</v>
      </c>
    </row>
    <row r="21" spans="2:8">
      <c r="C21" s="30"/>
    </row>
    <row r="22" spans="2:8">
      <c r="B22" s="30" t="str">
        <f>VLOOKUP("Hidden_Lists_Refrigerants",Hidden_Translations!$B$11:$K$1184,Hidden_Translations!$C$8,FALSE)</f>
        <v>Refrigerants</v>
      </c>
      <c r="C22" s="41" t="str">
        <f>VLOOKUP("Hidden_Lists_Refrigerant",Hidden_Translations!$B$11:$K$1184,Hidden_Translations!$C$8,FALSE)</f>
        <v>Refrigerant</v>
      </c>
      <c r="D22" s="41" t="str">
        <f>VLOOKUP("Hidden_Lists_Leakage",Hidden_Translations!$B$11:$K$1184,Hidden_Translations!$C$8,FALSE)</f>
        <v>Leakage (% per year)</v>
      </c>
    </row>
    <row r="23" spans="2:8">
      <c r="C23" s="41" t="str">
        <f>""</f>
        <v/>
      </c>
      <c r="D23" s="41">
        <v>0</v>
      </c>
      <c r="H23" s="357" t="s">
        <v>321</v>
      </c>
    </row>
    <row r="24" spans="2:8">
      <c r="C24" s="41" t="s">
        <v>69</v>
      </c>
      <c r="D24" s="41">
        <v>5</v>
      </c>
    </row>
    <row r="25" spans="2:8">
      <c r="C25" s="41" t="s">
        <v>68</v>
      </c>
      <c r="D25" s="41">
        <v>10</v>
      </c>
    </row>
    <row r="26" spans="2:8">
      <c r="C26" s="41" t="s">
        <v>67</v>
      </c>
      <c r="D26" s="41">
        <v>10</v>
      </c>
    </row>
    <row r="27" spans="2:8">
      <c r="C27" s="41" t="s">
        <v>66</v>
      </c>
      <c r="D27" s="41">
        <v>12</v>
      </c>
    </row>
    <row r="29" spans="2:8">
      <c r="B29" s="30" t="str">
        <f>VLOOKUP("Hidden_Lists_Chain",Hidden_Translations!$B$11:$K$1184,Hidden_Translations!$C$8,FALSE)</f>
        <v>Chain</v>
      </c>
      <c r="C29" s="41" t="str">
        <f>VLOOKUP("Hidden_Lists_Cold_Chain",Hidden_Translations!$B$11:$K$1184,Hidden_Translations!$C$8,FALSE)</f>
        <v>Cold chain</v>
      </c>
    </row>
    <row r="30" spans="2:8">
      <c r="C30" s="41"/>
      <c r="H30" s="357" t="s">
        <v>321</v>
      </c>
    </row>
    <row r="31" spans="2:8" s="378" customFormat="1">
      <c r="C31" s="41" t="str">
        <f>VLOOKUP("Hidden_Lists_Global",Hidden_Translations!$B$11:$K$1184,Hidden_Translations!$C$8,FALSE)</f>
        <v>Global</v>
      </c>
    </row>
    <row r="32" spans="2:8">
      <c r="C32" s="41" t="str">
        <f>VLOOKUP("Hidden_Lists_Regional",Hidden_Translations!$B$11:$K$1184,Hidden_Translations!$C$8,FALSE)</f>
        <v>Regional</v>
      </c>
    </row>
    <row r="33" spans="2:6">
      <c r="D33" s="41"/>
    </row>
    <row r="35" spans="2:6" ht="45">
      <c r="B35" s="3" t="str">
        <f>VLOOKUP("Hidden_Lists_Products",Hidden_Translations!$B$11:$K$1184,Hidden_Translations!$C$8,FALSE)</f>
        <v>Products</v>
      </c>
      <c r="C35" s="194" t="str">
        <f>VLOOKUP("Hidden_Lists_Product_Category",Hidden_Translations!$B$11:$K$1184,Hidden_Translations!$C$8,FALSE)</f>
        <v>Product category</v>
      </c>
      <c r="D35" s="194" t="str">
        <f>VLOOKUP("Hidden_Lists_Temp_Category",Hidden_Translations!$B$11:$K$1184,Hidden_Translations!$C$8,FALSE)</f>
        <v>Temperature category</v>
      </c>
      <c r="E35" s="194" t="str">
        <f>VLOOKUP("Hidden_Lists_Storage_T",Hidden_Translations!$B$11:$K$1184,Hidden_Translations!$C$8,FALSE)</f>
        <v>Storage temperature [oC]</v>
      </c>
      <c r="F35" s="194" t="str">
        <f>VLOOKUP("Hidden_Lists_Transport_T",Hidden_Translations!$B$11:$K$1184,Hidden_Translations!$C$8,FALSE)</f>
        <v>Transport temperature [oC]</v>
      </c>
    </row>
    <row r="36" spans="2:6">
      <c r="C36" s="506" t="str">
        <f>VLOOKUP("Hidden_Lists_Dairy",Hidden_Translations!$B$11:$K$1184,Hidden_Translations!$C$8,FALSE)</f>
        <v>Dairy</v>
      </c>
      <c r="D36" s="195" t="str">
        <f>VLOOKUP("Hidden_Lists_Cream",Hidden_Translations!$B$11:$K$1184,Hidden_Translations!$C$8,FALSE)</f>
        <v>Cream</v>
      </c>
      <c r="E36" s="196">
        <v>3</v>
      </c>
      <c r="F36" s="196">
        <v>3</v>
      </c>
    </row>
    <row r="37" spans="2:6">
      <c r="C37" s="506"/>
      <c r="D37" s="93" t="str">
        <f>VLOOKUP("Hidden_Lists_Cheese",Hidden_Translations!$B$11:$K$1184,Hidden_Translations!$C$8,FALSE)</f>
        <v>Cheese</v>
      </c>
      <c r="E37" s="196">
        <v>6</v>
      </c>
      <c r="F37" s="196">
        <v>6</v>
      </c>
    </row>
    <row r="38" spans="2:6">
      <c r="C38" s="506"/>
      <c r="D38" s="93" t="str">
        <f>VLOOKUP("Hidden_Lists_Milk",Hidden_Translations!$B$11:$K$1184,Hidden_Translations!$C$8,FALSE)</f>
        <v>Processed milk</v>
      </c>
      <c r="E38" s="196">
        <v>4</v>
      </c>
      <c r="F38" s="196">
        <v>4</v>
      </c>
    </row>
    <row r="39" spans="2:6">
      <c r="C39" s="506" t="str">
        <f>VLOOKUP("Hidden_Lists_Fish",Hidden_Translations!$B$11:$K$1184,Hidden_Translations!$C$8,FALSE)</f>
        <v>Fish</v>
      </c>
      <c r="D39" s="195" t="str">
        <f>VLOOKUP("Hidden_Lists_Fresh_Fish",Hidden_Translations!$B$11:$K$1184,Hidden_Translations!$C$8,FALSE)</f>
        <v>Fresh fish (in ice)</v>
      </c>
      <c r="E39" s="196">
        <v>2</v>
      </c>
      <c r="F39" s="196">
        <v>2</v>
      </c>
    </row>
    <row r="40" spans="2:6">
      <c r="C40" s="506"/>
      <c r="D40" s="195" t="str">
        <f>VLOOKUP("Hidden_Lists_Super_Fish",Hidden_Translations!$B$11:$K$1184,Hidden_Translations!$C$8,FALSE)</f>
        <v>Superchilled fish</v>
      </c>
      <c r="E40" s="196">
        <v>-1.7</v>
      </c>
      <c r="F40" s="196">
        <v>-1.7</v>
      </c>
    </row>
    <row r="41" spans="2:6">
      <c r="C41" s="506"/>
      <c r="D41" s="93" t="str">
        <f>VLOOKUP("Hidden_Lists_Frozen_Fish",Hidden_Translations!$B$11:$K$1184,Hidden_Translations!$C$8,FALSE)</f>
        <v>Frozen fish products</v>
      </c>
      <c r="E41" s="196">
        <v>-18</v>
      </c>
      <c r="F41" s="196">
        <v>-18</v>
      </c>
    </row>
    <row r="42" spans="2:6">
      <c r="C42" s="195" t="str">
        <f>VLOOKUP("Hidden_Lists_Ready",Hidden_Translations!$B$11:$K$1184,Hidden_Translations!$C$8,FALSE)</f>
        <v>Ready meals</v>
      </c>
      <c r="D42" s="195" t="str">
        <f>VLOOKUP("Hidden_Lists_Cooked",Hidden_Translations!$B$11:$K$1184,Hidden_Translations!$C$8,FALSE)</f>
        <v>Cooked dishes and prepared meals</v>
      </c>
      <c r="E42" s="196">
        <v>3</v>
      </c>
      <c r="F42" s="196">
        <v>3</v>
      </c>
    </row>
    <row r="43" spans="2:6">
      <c r="C43" s="506" t="str">
        <f>VLOOKUP("Hidden_Lists_Fruits",Hidden_Translations!$B$11:$K$1184,Hidden_Translations!$C$8,FALSE)</f>
        <v>Fruits and vegetables</v>
      </c>
      <c r="D43" s="195" t="str">
        <f>VLOOKUP("Hidden_Lists_Fresh",Hidden_Translations!$B$11:$K$1184,Hidden_Translations!$C$8,FALSE)</f>
        <v>Fresh</v>
      </c>
      <c r="E43" s="196">
        <v>8</v>
      </c>
      <c r="F43" s="196">
        <v>6</v>
      </c>
    </row>
    <row r="44" spans="2:6">
      <c r="C44" s="506"/>
      <c r="D44" s="93" t="str">
        <f>VLOOKUP("Hidden_Lists_Frozen",Hidden_Translations!$B$11:$K$1184,Hidden_Translations!$C$8,FALSE)</f>
        <v>Frozen</v>
      </c>
      <c r="E44" s="196">
        <v>-18</v>
      </c>
      <c r="F44" s="196">
        <v>-18</v>
      </c>
    </row>
    <row r="45" spans="2:6">
      <c r="C45" s="506" t="str">
        <f>VLOOKUP("Hidden_Lists_Meat",Hidden_Translations!$B$11:$K$1184,Hidden_Translations!$C$8,FALSE)</f>
        <v>Meat</v>
      </c>
      <c r="D45" s="195" t="str">
        <f>VLOOKUP("Hidden_Lists_Poultry",Hidden_Translations!$B$11:$K$1184,Hidden_Translations!$C$8,FALSE)</f>
        <v>Poultry, rabbit or gane</v>
      </c>
      <c r="E45" s="196">
        <v>7</v>
      </c>
      <c r="F45" s="196">
        <v>2</v>
      </c>
    </row>
    <row r="46" spans="2:6">
      <c r="C46" s="506"/>
      <c r="D46" s="93" t="str">
        <f>VLOOKUP("Hidden_Lists_Frozen_Eggs",Hidden_Translations!$B$11:$K$1184,Hidden_Translations!$C$8,FALSE)</f>
        <v>Frozen eggs,offal, rabbit or poultry</v>
      </c>
      <c r="E46" s="196">
        <v>-12</v>
      </c>
      <c r="F46" s="196">
        <v>-12</v>
      </c>
    </row>
    <row r="47" spans="2:6">
      <c r="C47" s="506"/>
      <c r="D47" s="93" t="str">
        <f>VLOOKUP("Hidden_Lists_Frozen_Meat",Hidden_Translations!$B$11:$K$1184,Hidden_Translations!$C$8,FALSE)</f>
        <v>Frozen Meat</v>
      </c>
      <c r="E47" s="196">
        <v>-10</v>
      </c>
      <c r="F47" s="196">
        <v>-18</v>
      </c>
    </row>
    <row r="48" spans="2:6">
      <c r="C48" s="506"/>
      <c r="D48" s="93" t="str">
        <f>VLOOKUP("Hidden_Lists_Beef",Hidden_Translations!$B$11:$K$1184,Hidden_Translations!$C$8,FALSE)</f>
        <v>Beef</v>
      </c>
      <c r="E48" s="197">
        <v>4</v>
      </c>
      <c r="F48" s="197">
        <v>4</v>
      </c>
    </row>
    <row r="49" spans="3:12">
      <c r="C49" s="195" t="str">
        <f>VLOOKUP("Hidden_Lists_Individual",Hidden_Translations!$B$11:$K$1184,Hidden_Translations!$C$8,FALSE)</f>
        <v>Individual products</v>
      </c>
      <c r="D49" s="93">
        <f>Hidden_Database!C24</f>
        <v>0</v>
      </c>
      <c r="E49" s="337">
        <f>Input!F39</f>
        <v>0</v>
      </c>
      <c r="F49" s="337">
        <f>Input!F38</f>
        <v>0</v>
      </c>
    </row>
    <row r="52" spans="3:12">
      <c r="C52" s="505" t="str">
        <f>VLOOKUP("Hidden_Lists_Fuel_Consumption_1",Hidden_Translations!$B$11:$K$1184,Hidden_Translations!$C$8,FALSE)</f>
        <v>Fuel consumption: Selection table</v>
      </c>
      <c r="D52" s="505"/>
      <c r="E52" s="504"/>
      <c r="F52" s="504"/>
      <c r="G52" s="504"/>
      <c r="H52" s="504"/>
      <c r="I52" s="504"/>
      <c r="J52" s="504"/>
      <c r="K52" s="504"/>
      <c r="L52" s="504"/>
    </row>
    <row r="54" spans="3:12">
      <c r="C54" s="505" t="str">
        <f>VLOOKUP("Hidden_Lists_Category",Hidden_Translations!$B$11:$K$1184,Hidden_Translations!$C$8,FALSE)</f>
        <v>Category</v>
      </c>
      <c r="D54" s="244" t="str">
        <f>VLOOKUP("Hidden_Lists_Product",Hidden_Translations!$B$11:$K$1184,Hidden_Translations!$C$8,FALSE)</f>
        <v>Product/process</v>
      </c>
      <c r="E54" s="504" t="str">
        <f>VLOOKUP("Hidden_Lists_Type",Hidden_Translations!$B$11:$K$1184,Hidden_Translations!$C$8,FALSE)</f>
        <v>Type</v>
      </c>
      <c r="F54" s="247" t="str">
        <f>VLOOKUP("Hidden_Lists_Density",Hidden_Translations!$B$11:$K$1184,Hidden_Translations!$C$8,FALSE)</f>
        <v>Density</v>
      </c>
    </row>
    <row r="55" spans="3:12">
      <c r="C55" s="505"/>
      <c r="D55" s="244"/>
      <c r="E55" s="504"/>
      <c r="F55" s="247" t="s">
        <v>256</v>
      </c>
    </row>
    <row r="56" spans="3:12">
      <c r="C56" s="236" t="str">
        <f>VLOOKUP("Hidden_Lists_Road_Transport",Hidden_Translations!$B$11:$K$1184,Hidden_Translations!$C$8,FALSE)</f>
        <v>Road transports</v>
      </c>
      <c r="D56" s="201" t="str">
        <f>""</f>
        <v/>
      </c>
      <c r="E56" s="237" t="str">
        <f>""</f>
        <v/>
      </c>
      <c r="F56" s="237"/>
    </row>
    <row r="57" spans="3:12">
      <c r="C57" s="239"/>
      <c r="D57" s="31" t="str">
        <f>VLOOKUP("Hidden_Lists_Lorry_1",Hidden_Translations!$B$11:$K$1184,Hidden_Translations!$C$8,FALSE)</f>
        <v>Lorry truck</v>
      </c>
      <c r="E57" s="220" t="str">
        <f>VLOOKUP("Hidden_Lists_Heavy",Hidden_Translations!$B$11:$K$1184,Hidden_Translations!$C$8,FALSE)</f>
        <v>heavy</v>
      </c>
      <c r="F57" s="220"/>
    </row>
    <row r="58" spans="3:12">
      <c r="C58" s="239"/>
      <c r="D58" s="31" t="str">
        <f>VLOOKUP("Hidden_Lists_Lorry_2",Hidden_Translations!$B$11:$K$1184,Hidden_Translations!$C$8,FALSE)</f>
        <v>Lorry truck R134a-cooling</v>
      </c>
      <c r="E58" s="220" t="str">
        <f>E57</f>
        <v>heavy</v>
      </c>
      <c r="F58" s="220"/>
    </row>
    <row r="59" spans="3:12">
      <c r="C59" s="240" t="str">
        <f>VLOOKUP("Hidden_Lists_for_Refrigeration",Hidden_Translations!$B$11:$K$1184,Hidden_Translations!$C$8,FALSE)</f>
        <v>For transport refrigeration</v>
      </c>
      <c r="D59" s="232" t="str">
        <f>""</f>
        <v/>
      </c>
      <c r="E59" s="250" t="str">
        <f>""</f>
        <v/>
      </c>
      <c r="F59" s="250"/>
    </row>
    <row r="60" spans="3:12">
      <c r="C60" s="235"/>
      <c r="D60" s="199" t="str">
        <f>VLOOKUP("Hidden_Lists_Diesel",Hidden_Translations!$B$11:$K$1184,Hidden_Translations!$C$8,FALSE)</f>
        <v>Diesel</v>
      </c>
      <c r="E60" s="233"/>
      <c r="F60" s="233">
        <v>0.85</v>
      </c>
    </row>
    <row r="61" spans="3:12">
      <c r="C61" s="25"/>
      <c r="D61" s="25"/>
      <c r="E61" s="25"/>
      <c r="F61" s="25"/>
    </row>
    <row r="62" spans="3:12">
      <c r="C62" s="505" t="str">
        <f>VLOOKUP("Hidden_Lists_Fuel_Consumption_2",Hidden_Translations!$B$11:$K$1184,Hidden_Translations!$C$8,FALSE)</f>
        <v>Fuel consumption: Base table</v>
      </c>
      <c r="D62" s="505"/>
      <c r="E62" s="504"/>
      <c r="F62" s="504"/>
      <c r="G62" s="504"/>
      <c r="H62" s="504"/>
    </row>
    <row r="63" spans="3:12">
      <c r="C63" s="25"/>
      <c r="D63" s="25"/>
      <c r="E63" s="25"/>
      <c r="F63" s="25"/>
      <c r="G63" s="25"/>
      <c r="H63" s="25"/>
    </row>
    <row r="64" spans="3:12">
      <c r="C64" s="504" t="str">
        <f>VLOOKUP("Hidden_Lists_Light",Hidden_Translations!$B$11:$K$1184,Hidden_Translations!$C$8,FALSE)</f>
        <v>Light</v>
      </c>
      <c r="D64" s="504"/>
      <c r="E64" s="504" t="str">
        <f>VLOOKUP("Hidden_Lists_Medium",Hidden_Translations!$B$11:$K$1184,Hidden_Translations!$C$8,FALSE)</f>
        <v>Medium</v>
      </c>
      <c r="F64" s="504"/>
      <c r="G64" s="504" t="str">
        <f>VLOOKUP("Hidden_Lists_Heavy2",Hidden_Translations!$B$11:$K$1184,Hidden_Translations!$C$8,FALSE)</f>
        <v>Heavy</v>
      </c>
      <c r="H64" s="504"/>
    </row>
    <row r="65" spans="3:8">
      <c r="C65" s="251" t="str">
        <f>VLOOKUP("Hidden_Lists_Temperature",Hidden_Translations!$B$11:$K$1184,Hidden_Translations!$C$8,FALSE)</f>
        <v>Temperature</v>
      </c>
      <c r="D65" s="251" t="str">
        <f>VLOOKUP("Hidden_Lists_Fuel_Consumption",Hidden_Translations!$B$11:$K$1184,Hidden_Translations!$C$8,FALSE)</f>
        <v>Fuel consumption</v>
      </c>
      <c r="E65" s="251" t="str">
        <f>C65</f>
        <v>Temperature</v>
      </c>
      <c r="F65" s="251" t="str">
        <f>D65</f>
        <v>Fuel consumption</v>
      </c>
      <c r="G65" s="251" t="str">
        <f>C65</f>
        <v>Temperature</v>
      </c>
      <c r="H65" s="251" t="str">
        <f>D65</f>
        <v>Fuel consumption</v>
      </c>
    </row>
    <row r="66" spans="3:8">
      <c r="C66" s="90">
        <v>3</v>
      </c>
      <c r="D66" s="90">
        <v>0.5</v>
      </c>
      <c r="E66" s="90">
        <v>3</v>
      </c>
      <c r="F66" s="90">
        <v>0.5</v>
      </c>
      <c r="G66" s="90">
        <v>3</v>
      </c>
      <c r="H66" s="90">
        <v>1</v>
      </c>
    </row>
    <row r="67" spans="3:8">
      <c r="C67" s="90">
        <v>0</v>
      </c>
      <c r="D67" s="90">
        <v>1.5</v>
      </c>
      <c r="E67" s="90">
        <v>0</v>
      </c>
      <c r="F67" s="90">
        <v>2.5</v>
      </c>
      <c r="G67" s="90">
        <v>0</v>
      </c>
      <c r="H67" s="90">
        <v>3</v>
      </c>
    </row>
    <row r="68" spans="3:8">
      <c r="C68" s="90">
        <v>-20</v>
      </c>
      <c r="D68" s="90">
        <v>2</v>
      </c>
      <c r="E68" s="90">
        <v>-20</v>
      </c>
      <c r="F68" s="90">
        <v>2.5</v>
      </c>
      <c r="G68" s="90">
        <v>-20</v>
      </c>
      <c r="H68" s="90">
        <v>4.5</v>
      </c>
    </row>
    <row r="69" spans="3:8">
      <c r="C69" s="90">
        <v>-25</v>
      </c>
      <c r="D69" s="90">
        <v>3</v>
      </c>
      <c r="E69" s="90">
        <v>-25</v>
      </c>
      <c r="F69" s="90">
        <v>3</v>
      </c>
      <c r="G69" s="90">
        <v>-25</v>
      </c>
      <c r="H69" s="90">
        <v>5</v>
      </c>
    </row>
    <row r="70" spans="3:8">
      <c r="C70" s="26"/>
      <c r="D70" s="26"/>
      <c r="E70" s="26"/>
      <c r="F70" s="26"/>
      <c r="G70" s="26"/>
      <c r="H70" s="26"/>
    </row>
    <row r="71" spans="3:8">
      <c r="C71" s="505" t="str">
        <f>VLOOKUP("Hidden_Lists_Fuel_Consumption_3",Hidden_Translations!$B$11:$K$1184,Hidden_Translations!$C$8,FALSE)</f>
        <v>Fuel consumption: Inter-/extrapolated table</v>
      </c>
      <c r="D71" s="505"/>
      <c r="E71" s="504"/>
      <c r="F71" s="504"/>
      <c r="G71" s="504"/>
      <c r="H71" s="504"/>
    </row>
    <row r="72" spans="3:8">
      <c r="C72" s="26"/>
      <c r="D72" s="26"/>
      <c r="E72" s="26"/>
      <c r="F72" s="26"/>
      <c r="G72" s="26"/>
      <c r="H72" s="26"/>
    </row>
    <row r="73" spans="3:8">
      <c r="C73" s="504" t="str">
        <f>C64</f>
        <v>Light</v>
      </c>
      <c r="D73" s="504"/>
      <c r="E73" s="504" t="str">
        <f>E64</f>
        <v>Medium</v>
      </c>
      <c r="F73" s="504"/>
      <c r="G73" s="504" t="str">
        <f>G64</f>
        <v>Heavy</v>
      </c>
      <c r="H73" s="504"/>
    </row>
    <row r="74" spans="3:8">
      <c r="C74" s="251" t="str">
        <f t="shared" ref="C74:H74" si="0">C65</f>
        <v>Temperature</v>
      </c>
      <c r="D74" s="251" t="str">
        <f t="shared" si="0"/>
        <v>Fuel consumption</v>
      </c>
      <c r="E74" s="251" t="str">
        <f t="shared" si="0"/>
        <v>Temperature</v>
      </c>
      <c r="F74" s="251" t="str">
        <f t="shared" si="0"/>
        <v>Fuel consumption</v>
      </c>
      <c r="G74" s="251" t="str">
        <f t="shared" si="0"/>
        <v>Temperature</v>
      </c>
      <c r="H74" s="251" t="str">
        <f t="shared" si="0"/>
        <v>Fuel consumption</v>
      </c>
    </row>
    <row r="75" spans="3:8">
      <c r="C75" s="90">
        <v>20</v>
      </c>
      <c r="D75" s="90">
        <v>0.5</v>
      </c>
      <c r="E75" s="90">
        <v>20</v>
      </c>
      <c r="F75" s="252">
        <v>0.5</v>
      </c>
      <c r="G75" s="90">
        <v>20</v>
      </c>
      <c r="H75" s="188">
        <v>0.5</v>
      </c>
    </row>
    <row r="76" spans="3:8">
      <c r="C76" s="90">
        <v>19</v>
      </c>
      <c r="D76" s="90">
        <v>0.5</v>
      </c>
      <c r="E76" s="90">
        <v>19</v>
      </c>
      <c r="F76" s="252">
        <v>0.5</v>
      </c>
      <c r="G76" s="90">
        <v>19</v>
      </c>
      <c r="H76" s="188">
        <v>0.5</v>
      </c>
    </row>
    <row r="77" spans="3:8">
      <c r="C77" s="90">
        <v>18</v>
      </c>
      <c r="D77" s="90">
        <v>0.5</v>
      </c>
      <c r="E77" s="90">
        <v>18</v>
      </c>
      <c r="F77" s="252">
        <v>0.5</v>
      </c>
      <c r="G77" s="90">
        <v>18</v>
      </c>
      <c r="H77" s="188">
        <v>0.5</v>
      </c>
    </row>
    <row r="78" spans="3:8">
      <c r="C78" s="90">
        <v>17</v>
      </c>
      <c r="D78" s="90">
        <v>0.5</v>
      </c>
      <c r="E78" s="90">
        <v>17</v>
      </c>
      <c r="F78" s="252">
        <v>0.5</v>
      </c>
      <c r="G78" s="90">
        <v>17</v>
      </c>
      <c r="H78" s="188">
        <v>0.5</v>
      </c>
    </row>
    <row r="79" spans="3:8">
      <c r="C79" s="90">
        <v>16</v>
      </c>
      <c r="D79" s="90">
        <v>0.5</v>
      </c>
      <c r="E79" s="90">
        <v>16</v>
      </c>
      <c r="F79" s="252">
        <v>0.5</v>
      </c>
      <c r="G79" s="90">
        <v>16</v>
      </c>
      <c r="H79" s="188">
        <v>0.5</v>
      </c>
    </row>
    <row r="80" spans="3:8">
      <c r="C80" s="90">
        <v>15</v>
      </c>
      <c r="D80" s="90">
        <v>0.5</v>
      </c>
      <c r="E80" s="90">
        <v>15</v>
      </c>
      <c r="F80" s="252">
        <v>0.5</v>
      </c>
      <c r="G80" s="90">
        <v>15</v>
      </c>
      <c r="H80" s="188">
        <v>0.5</v>
      </c>
    </row>
    <row r="81" spans="3:8">
      <c r="C81" s="90">
        <v>14</v>
      </c>
      <c r="D81" s="90">
        <v>0.5</v>
      </c>
      <c r="E81" s="90">
        <v>14</v>
      </c>
      <c r="F81" s="252">
        <v>0.5</v>
      </c>
      <c r="G81" s="90">
        <v>14</v>
      </c>
      <c r="H81" s="188">
        <v>0.5</v>
      </c>
    </row>
    <row r="82" spans="3:8">
      <c r="C82" s="90">
        <v>13</v>
      </c>
      <c r="D82" s="90">
        <v>0.5</v>
      </c>
      <c r="E82" s="90">
        <v>13</v>
      </c>
      <c r="F82" s="252">
        <v>0.5</v>
      </c>
      <c r="G82" s="90">
        <v>13</v>
      </c>
      <c r="H82" s="188">
        <v>0.5</v>
      </c>
    </row>
    <row r="83" spans="3:8">
      <c r="C83" s="90">
        <v>12</v>
      </c>
      <c r="D83" s="90">
        <v>0.5</v>
      </c>
      <c r="E83" s="90">
        <v>12</v>
      </c>
      <c r="F83" s="252">
        <v>0.5</v>
      </c>
      <c r="G83" s="90">
        <v>12</v>
      </c>
      <c r="H83" s="188">
        <v>0.5</v>
      </c>
    </row>
    <row r="84" spans="3:8">
      <c r="C84" s="90">
        <v>11</v>
      </c>
      <c r="D84" s="252">
        <v>0.5</v>
      </c>
      <c r="E84" s="90">
        <v>11</v>
      </c>
      <c r="F84" s="252">
        <v>0.5</v>
      </c>
      <c r="G84" s="90">
        <v>11</v>
      </c>
      <c r="H84" s="188">
        <v>0.5</v>
      </c>
    </row>
    <row r="85" spans="3:8">
      <c r="C85" s="90">
        <v>10</v>
      </c>
      <c r="D85" s="252">
        <v>0.5</v>
      </c>
      <c r="E85" s="90">
        <v>10</v>
      </c>
      <c r="F85" s="252">
        <v>0.5</v>
      </c>
      <c r="G85" s="90">
        <v>10</v>
      </c>
      <c r="H85" s="188">
        <v>0.5</v>
      </c>
    </row>
    <row r="86" spans="3:8">
      <c r="C86" s="90">
        <v>9</v>
      </c>
      <c r="D86" s="252">
        <v>0.5</v>
      </c>
      <c r="E86" s="90">
        <v>9</v>
      </c>
      <c r="F86" s="252">
        <v>0.5</v>
      </c>
      <c r="G86" s="90">
        <v>9</v>
      </c>
      <c r="H86" s="188">
        <v>0.5</v>
      </c>
    </row>
    <row r="87" spans="3:8">
      <c r="C87" s="90">
        <v>8</v>
      </c>
      <c r="D87" s="252">
        <v>0.5</v>
      </c>
      <c r="E87" s="90">
        <v>8</v>
      </c>
      <c r="F87" s="252">
        <v>0.5</v>
      </c>
      <c r="G87" s="90">
        <v>8</v>
      </c>
      <c r="H87" s="188">
        <v>0.5</v>
      </c>
    </row>
    <row r="88" spans="3:8">
      <c r="C88" s="90">
        <v>7</v>
      </c>
      <c r="D88" s="252">
        <v>0.5</v>
      </c>
      <c r="E88" s="90">
        <v>7</v>
      </c>
      <c r="F88" s="252">
        <v>0.5</v>
      </c>
      <c r="G88" s="90">
        <v>7</v>
      </c>
      <c r="H88" s="188">
        <v>0.5</v>
      </c>
    </row>
    <row r="89" spans="3:8">
      <c r="C89" s="90">
        <v>6</v>
      </c>
      <c r="D89" s="252">
        <v>0.5</v>
      </c>
      <c r="E89" s="90">
        <v>6</v>
      </c>
      <c r="F89" s="252">
        <v>0.5</v>
      </c>
      <c r="G89" s="90">
        <v>6</v>
      </c>
      <c r="H89" s="188">
        <v>0.5</v>
      </c>
    </row>
    <row r="90" spans="3:8">
      <c r="C90" s="90">
        <v>5</v>
      </c>
      <c r="D90" s="252">
        <v>0.5</v>
      </c>
      <c r="E90" s="90">
        <v>5</v>
      </c>
      <c r="F90" s="252">
        <v>0.5</v>
      </c>
      <c r="G90" s="90">
        <v>5</v>
      </c>
      <c r="H90" s="188">
        <v>0.5</v>
      </c>
    </row>
    <row r="91" spans="3:8">
      <c r="C91" s="90">
        <v>4</v>
      </c>
      <c r="D91" s="252">
        <v>0.5</v>
      </c>
      <c r="E91" s="90">
        <v>4</v>
      </c>
      <c r="F91" s="252">
        <v>0.5</v>
      </c>
      <c r="G91" s="90">
        <v>4</v>
      </c>
      <c r="H91" s="188">
        <v>0.5</v>
      </c>
    </row>
    <row r="92" spans="3:8">
      <c r="C92" s="90">
        <v>3</v>
      </c>
      <c r="D92" s="252">
        <f t="shared" ref="D92:D119" si="1">-0.0007*C92^(3)-0.0258*C92^(2)-0.2494*C92+1.5</f>
        <v>0.50070000000000003</v>
      </c>
      <c r="E92" s="90">
        <v>3</v>
      </c>
      <c r="F92" s="252">
        <v>1</v>
      </c>
      <c r="G92" s="90">
        <v>3</v>
      </c>
      <c r="H92" s="188">
        <f>-0.001*G92^(3)-0.042*G92^(2)-0.5322*G92+3</f>
        <v>0.99840000000000018</v>
      </c>
    </row>
    <row r="93" spans="3:8">
      <c r="C93" s="90">
        <v>2</v>
      </c>
      <c r="D93" s="252">
        <f t="shared" si="1"/>
        <v>0.89239999999999997</v>
      </c>
      <c r="E93" s="90">
        <v>2</v>
      </c>
      <c r="F93" s="252">
        <v>1.5</v>
      </c>
      <c r="G93" s="90">
        <v>2</v>
      </c>
      <c r="H93" s="188">
        <f>-0.001*G93^(3)-0.042*G93^(2)-0.5322*G93+3</f>
        <v>1.7596000000000001</v>
      </c>
    </row>
    <row r="94" spans="3:8">
      <c r="C94" s="90">
        <v>1</v>
      </c>
      <c r="D94" s="252">
        <f t="shared" si="1"/>
        <v>1.2241</v>
      </c>
      <c r="E94" s="90">
        <v>1</v>
      </c>
      <c r="F94" s="252">
        <v>2</v>
      </c>
      <c r="G94" s="90">
        <v>1</v>
      </c>
      <c r="H94" s="188">
        <f>-0.001*G94^(3)-0.042*G94^(2)-0.5322*G94+3</f>
        <v>2.4247999999999998</v>
      </c>
    </row>
    <row r="95" spans="3:8">
      <c r="C95" s="90">
        <v>0</v>
      </c>
      <c r="D95" s="252">
        <f t="shared" si="1"/>
        <v>1.5</v>
      </c>
      <c r="E95" s="90">
        <v>0</v>
      </c>
      <c r="F95" s="252">
        <v>2.5</v>
      </c>
      <c r="G95" s="90">
        <v>0</v>
      </c>
      <c r="H95" s="188">
        <f>-0.001*G95^(3)-0.042*G95^(2)-0.5322*G95+3</f>
        <v>3</v>
      </c>
    </row>
    <row r="96" spans="3:8">
      <c r="C96" s="90">
        <v>-1</v>
      </c>
      <c r="D96" s="252">
        <f t="shared" si="1"/>
        <v>1.7242999999999999</v>
      </c>
      <c r="E96" s="90">
        <v>-1</v>
      </c>
      <c r="F96" s="252">
        <v>2.5</v>
      </c>
      <c r="G96" s="90">
        <v>-1</v>
      </c>
      <c r="H96" s="188">
        <f t="shared" ref="H96:H114" si="2">+(($H$115-$H$95)/20)+H95</f>
        <v>3.0750000000000002</v>
      </c>
    </row>
    <row r="97" spans="3:8">
      <c r="C97" s="90">
        <v>-1.7</v>
      </c>
      <c r="D97" s="252">
        <f t="shared" si="1"/>
        <v>1.8528571</v>
      </c>
      <c r="E97" s="90">
        <v>-1.7</v>
      </c>
      <c r="F97" s="252">
        <v>2.5</v>
      </c>
      <c r="G97" s="90">
        <v>-1.7</v>
      </c>
      <c r="H97" s="188">
        <f t="shared" si="2"/>
        <v>3.1500000000000004</v>
      </c>
    </row>
    <row r="98" spans="3:8">
      <c r="C98" s="90">
        <v>-3</v>
      </c>
      <c r="D98" s="252">
        <f t="shared" si="1"/>
        <v>2.0348999999999999</v>
      </c>
      <c r="E98" s="90">
        <v>-3</v>
      </c>
      <c r="F98" s="252">
        <v>2.5</v>
      </c>
      <c r="G98" s="90">
        <v>-3</v>
      </c>
      <c r="H98" s="188">
        <f t="shared" si="2"/>
        <v>3.2250000000000005</v>
      </c>
    </row>
    <row r="99" spans="3:8">
      <c r="C99" s="90">
        <v>-4</v>
      </c>
      <c r="D99" s="252">
        <f t="shared" si="1"/>
        <v>2.1295999999999999</v>
      </c>
      <c r="E99" s="90">
        <v>-4</v>
      </c>
      <c r="F99" s="252">
        <v>2.5</v>
      </c>
      <c r="G99" s="90">
        <v>-4</v>
      </c>
      <c r="H99" s="188">
        <f t="shared" si="2"/>
        <v>3.3000000000000007</v>
      </c>
    </row>
    <row r="100" spans="3:8">
      <c r="C100" s="90">
        <v>-5</v>
      </c>
      <c r="D100" s="252">
        <f t="shared" si="1"/>
        <v>2.1895000000000002</v>
      </c>
      <c r="E100" s="90">
        <v>-5</v>
      </c>
      <c r="F100" s="252">
        <v>2.5</v>
      </c>
      <c r="G100" s="90">
        <v>-5</v>
      </c>
      <c r="H100" s="188">
        <f t="shared" si="2"/>
        <v>3.3750000000000009</v>
      </c>
    </row>
    <row r="101" spans="3:8">
      <c r="C101" s="90">
        <v>-6</v>
      </c>
      <c r="D101" s="252">
        <f t="shared" si="1"/>
        <v>2.2187999999999999</v>
      </c>
      <c r="E101" s="90">
        <v>-6</v>
      </c>
      <c r="F101" s="252">
        <v>2.5</v>
      </c>
      <c r="G101" s="90">
        <v>-6</v>
      </c>
      <c r="H101" s="188">
        <f t="shared" si="2"/>
        <v>3.4500000000000011</v>
      </c>
    </row>
    <row r="102" spans="3:8">
      <c r="C102" s="90">
        <v>-7</v>
      </c>
      <c r="D102" s="252">
        <f t="shared" si="1"/>
        <v>2.2217000000000002</v>
      </c>
      <c r="E102" s="90">
        <v>-7</v>
      </c>
      <c r="F102" s="252">
        <v>2.5</v>
      </c>
      <c r="G102" s="90">
        <v>-7</v>
      </c>
      <c r="H102" s="188">
        <f t="shared" si="2"/>
        <v>3.5250000000000012</v>
      </c>
    </row>
    <row r="103" spans="3:8">
      <c r="C103" s="90">
        <v>-8</v>
      </c>
      <c r="D103" s="252">
        <f t="shared" si="1"/>
        <v>2.2023999999999999</v>
      </c>
      <c r="E103" s="90">
        <v>-8</v>
      </c>
      <c r="F103" s="252">
        <v>2.5</v>
      </c>
      <c r="G103" s="90">
        <v>-8</v>
      </c>
      <c r="H103" s="188">
        <f t="shared" si="2"/>
        <v>3.6000000000000014</v>
      </c>
    </row>
    <row r="104" spans="3:8">
      <c r="C104" s="90">
        <v>-9</v>
      </c>
      <c r="D104" s="252">
        <f t="shared" si="1"/>
        <v>2.1651000000000002</v>
      </c>
      <c r="E104" s="90">
        <v>-9</v>
      </c>
      <c r="F104" s="252">
        <v>2.5</v>
      </c>
      <c r="G104" s="90">
        <v>-9</v>
      </c>
      <c r="H104" s="188">
        <f t="shared" si="2"/>
        <v>3.6750000000000016</v>
      </c>
    </row>
    <row r="105" spans="3:8">
      <c r="C105" s="90">
        <v>-10</v>
      </c>
      <c r="D105" s="252">
        <f t="shared" si="1"/>
        <v>2.1139999999999999</v>
      </c>
      <c r="E105" s="90">
        <v>-10</v>
      </c>
      <c r="F105" s="252">
        <v>2.5</v>
      </c>
      <c r="G105" s="90">
        <v>-10</v>
      </c>
      <c r="H105" s="188">
        <f t="shared" si="2"/>
        <v>3.7500000000000018</v>
      </c>
    </row>
    <row r="106" spans="3:8">
      <c r="C106" s="90">
        <v>-11</v>
      </c>
      <c r="D106" s="252">
        <f t="shared" si="1"/>
        <v>2.0533000000000001</v>
      </c>
      <c r="E106" s="90">
        <v>-11</v>
      </c>
      <c r="F106" s="252">
        <v>2.5</v>
      </c>
      <c r="G106" s="90">
        <v>-11</v>
      </c>
      <c r="H106" s="188">
        <f t="shared" si="2"/>
        <v>3.825000000000002</v>
      </c>
    </row>
    <row r="107" spans="3:8">
      <c r="C107" s="90">
        <v>-12</v>
      </c>
      <c r="D107" s="252">
        <f t="shared" si="1"/>
        <v>1.9872000000000001</v>
      </c>
      <c r="E107" s="90">
        <v>-12</v>
      </c>
      <c r="F107" s="252">
        <v>2.5</v>
      </c>
      <c r="G107" s="90">
        <v>-12</v>
      </c>
      <c r="H107" s="188">
        <f t="shared" si="2"/>
        <v>3.9000000000000021</v>
      </c>
    </row>
    <row r="108" spans="3:8">
      <c r="C108" s="90">
        <v>-13</v>
      </c>
      <c r="D108" s="252">
        <f t="shared" si="1"/>
        <v>1.9199000000000002</v>
      </c>
      <c r="E108" s="90">
        <v>-13</v>
      </c>
      <c r="F108" s="252">
        <v>2.5</v>
      </c>
      <c r="G108" s="90">
        <v>-13</v>
      </c>
      <c r="H108" s="188">
        <f t="shared" si="2"/>
        <v>3.9750000000000023</v>
      </c>
    </row>
    <row r="109" spans="3:8">
      <c r="C109" s="90">
        <v>-14</v>
      </c>
      <c r="D109" s="252">
        <f t="shared" si="1"/>
        <v>1.8555999999999999</v>
      </c>
      <c r="E109" s="90">
        <v>-14</v>
      </c>
      <c r="F109" s="252">
        <v>2.5</v>
      </c>
      <c r="G109" s="90">
        <v>-14</v>
      </c>
      <c r="H109" s="188">
        <f t="shared" si="2"/>
        <v>4.0500000000000025</v>
      </c>
    </row>
    <row r="110" spans="3:8">
      <c r="C110" s="90">
        <v>-15</v>
      </c>
      <c r="D110" s="252">
        <f t="shared" si="1"/>
        <v>1.7985000000000002</v>
      </c>
      <c r="E110" s="90">
        <v>-15</v>
      </c>
      <c r="F110" s="252">
        <v>2.5</v>
      </c>
      <c r="G110" s="90">
        <v>-15</v>
      </c>
      <c r="H110" s="188">
        <f t="shared" si="2"/>
        <v>4.1250000000000027</v>
      </c>
    </row>
    <row r="111" spans="3:8">
      <c r="C111" s="90">
        <v>-16</v>
      </c>
      <c r="D111" s="252">
        <f t="shared" si="1"/>
        <v>1.7528000000000001</v>
      </c>
      <c r="E111" s="90">
        <v>-16</v>
      </c>
      <c r="F111" s="252">
        <v>2.5</v>
      </c>
      <c r="G111" s="90">
        <v>-16</v>
      </c>
      <c r="H111" s="188">
        <f t="shared" si="2"/>
        <v>4.2000000000000028</v>
      </c>
    </row>
    <row r="112" spans="3:8">
      <c r="C112" s="90">
        <v>-17</v>
      </c>
      <c r="D112" s="252">
        <f t="shared" si="1"/>
        <v>1.7226999999999997</v>
      </c>
      <c r="E112" s="90">
        <v>-17</v>
      </c>
      <c r="F112" s="252">
        <v>2.5</v>
      </c>
      <c r="G112" s="90">
        <v>-17</v>
      </c>
      <c r="H112" s="188">
        <f t="shared" si="2"/>
        <v>4.275000000000003</v>
      </c>
    </row>
    <row r="113" spans="2:12">
      <c r="C113" s="90">
        <v>-18</v>
      </c>
      <c r="D113" s="252">
        <f t="shared" si="1"/>
        <v>1.7124000000000006</v>
      </c>
      <c r="E113" s="90">
        <v>-18</v>
      </c>
      <c r="F113" s="252">
        <v>2.5</v>
      </c>
      <c r="G113" s="90">
        <v>-18</v>
      </c>
      <c r="H113" s="188">
        <f t="shared" si="2"/>
        <v>4.3500000000000032</v>
      </c>
    </row>
    <row r="114" spans="2:12">
      <c r="C114" s="90">
        <v>-19</v>
      </c>
      <c r="D114" s="252">
        <f t="shared" si="1"/>
        <v>1.7260999999999997</v>
      </c>
      <c r="E114" s="90">
        <v>-19</v>
      </c>
      <c r="F114" s="252">
        <v>2.5</v>
      </c>
      <c r="G114" s="90">
        <v>-19</v>
      </c>
      <c r="H114" s="188">
        <f t="shared" si="2"/>
        <v>4.4250000000000034</v>
      </c>
    </row>
    <row r="115" spans="2:12">
      <c r="C115" s="90">
        <v>-20</v>
      </c>
      <c r="D115" s="252">
        <f t="shared" si="1"/>
        <v>1.7679999999999998</v>
      </c>
      <c r="E115" s="90">
        <v>-20</v>
      </c>
      <c r="F115" s="252">
        <v>2.5</v>
      </c>
      <c r="G115" s="90">
        <v>-20</v>
      </c>
      <c r="H115" s="188">
        <v>4.5</v>
      </c>
    </row>
    <row r="116" spans="2:12">
      <c r="C116" s="90">
        <v>-21</v>
      </c>
      <c r="D116" s="252">
        <f t="shared" si="1"/>
        <v>1.8422999999999998</v>
      </c>
      <c r="E116" s="90">
        <v>-21</v>
      </c>
      <c r="F116" s="252">
        <f>-0.0012*E116^(3)-0.049*E116^(2)-0.509*E116+2.5</f>
        <v>2.6931999999999974</v>
      </c>
      <c r="G116" s="90">
        <v>-21</v>
      </c>
      <c r="H116" s="188">
        <f>+(($H$120-$H$115)/5)+H115</f>
        <v>4.5999999999999996</v>
      </c>
    </row>
    <row r="117" spans="2:12">
      <c r="C117" s="90">
        <v>-22</v>
      </c>
      <c r="D117" s="252">
        <f t="shared" si="1"/>
        <v>1.9532000000000007</v>
      </c>
      <c r="E117" s="90">
        <v>-22</v>
      </c>
      <c r="F117" s="252">
        <f>-0.0012*E117^(3)-0.049*E117^(2)-0.509*E117+2.5</f>
        <v>2.7595999999999989</v>
      </c>
      <c r="G117" s="90">
        <v>-22</v>
      </c>
      <c r="H117" s="188">
        <f>+(($H$120-$H$115)/5)+H116</f>
        <v>4.6999999999999993</v>
      </c>
    </row>
    <row r="118" spans="2:12">
      <c r="C118" s="90">
        <v>-23</v>
      </c>
      <c r="D118" s="252">
        <f t="shared" si="1"/>
        <v>2.1049000000000007</v>
      </c>
      <c r="E118" s="90">
        <v>-23</v>
      </c>
      <c r="F118" s="252">
        <f>-0.0012*E118^(3)-0.049*E118^(2)-0.509*E118+2.5</f>
        <v>2.8864000000000001</v>
      </c>
      <c r="G118" s="90">
        <v>-23</v>
      </c>
      <c r="H118" s="188">
        <f>+(($H$120-$H$115)/5)+H117</f>
        <v>4.7999999999999989</v>
      </c>
    </row>
    <row r="119" spans="2:12">
      <c r="C119" s="90">
        <v>-24</v>
      </c>
      <c r="D119" s="252">
        <f t="shared" si="1"/>
        <v>2.3016000000000005</v>
      </c>
      <c r="E119" s="90">
        <v>-24</v>
      </c>
      <c r="F119" s="252">
        <f>-0.0012*E119^(3)-0.049*E119^(2)-0.509*E119+2.5</f>
        <v>3.0808</v>
      </c>
      <c r="G119" s="90">
        <v>-24</v>
      </c>
      <c r="H119" s="188">
        <f>+(($H$120-$H$115)/5)+H118</f>
        <v>4.8999999999999986</v>
      </c>
    </row>
    <row r="120" spans="2:12">
      <c r="C120" s="90">
        <v>-25</v>
      </c>
      <c r="D120" s="252">
        <f>0.0011*C120^(2)-0.044*C120+1.0058</f>
        <v>2.7932999999999999</v>
      </c>
      <c r="E120" s="90">
        <v>-25</v>
      </c>
      <c r="F120" s="252">
        <f>-0.0012*E120^(3)-0.049*E120^(2)-0.509*E120+2.5</f>
        <v>3.3499999999999996</v>
      </c>
      <c r="G120" s="90">
        <v>-25</v>
      </c>
      <c r="H120" s="188">
        <v>5</v>
      </c>
    </row>
    <row r="123" spans="2:12">
      <c r="C123" s="242" t="str">
        <f>VLOOKUP("Hidden_Lists_Selection_Table_1",Hidden_Translations!$B$11:$K$1184,Hidden_Translations!$C$8,FALSE)</f>
        <v>#1: Product group selection table</v>
      </c>
      <c r="D123" s="243"/>
      <c r="E123" s="243"/>
      <c r="F123" s="243"/>
      <c r="G123" s="243"/>
      <c r="H123" s="243"/>
      <c r="I123" s="243"/>
    </row>
    <row r="124" spans="2:12">
      <c r="B124" s="30" t="str">
        <f>VLOOKUP("Hidden_Lists_Product_Group",Hidden_Translations!$B$11:$K$1184,Hidden_Translations!$C$8,FALSE)</f>
        <v xml:space="preserve">Product group: </v>
      </c>
      <c r="C124" s="255" t="str">
        <f>C153</f>
        <v>Dairy</v>
      </c>
      <c r="D124" s="255" t="str">
        <f>C154</f>
        <v>Fish</v>
      </c>
      <c r="E124" s="255" t="str">
        <f>C156</f>
        <v>Meat</v>
      </c>
      <c r="F124" s="255" t="str">
        <f>C157</f>
        <v>Ready meals</v>
      </c>
      <c r="G124" s="255" t="str">
        <f>C155</f>
        <v>Fruits and vegetables</v>
      </c>
      <c r="H124" s="255" t="str">
        <f>Hidden_Lists!C49</f>
        <v>Individual products</v>
      </c>
      <c r="I124" s="31"/>
    </row>
    <row r="125" spans="2:12">
      <c r="C125" s="90" t="str">
        <f>Hidden_Lists!D37</f>
        <v>Cheese</v>
      </c>
      <c r="D125" s="90" t="str">
        <f>Hidden_Lists!D39</f>
        <v>Fresh fish (in ice)</v>
      </c>
      <c r="E125" s="90" t="str">
        <f>Hidden_Lists!D45</f>
        <v>Poultry, rabbit or gane</v>
      </c>
      <c r="F125" s="90" t="str">
        <f>Hidden_Lists!D42</f>
        <v>Cooked dishes and prepared meals</v>
      </c>
      <c r="G125" s="90" t="str">
        <f>Hidden_Lists!D43</f>
        <v>Fresh</v>
      </c>
      <c r="H125" s="90">
        <f>Hidden_Lists!D49</f>
        <v>0</v>
      </c>
      <c r="I125" s="90"/>
    </row>
    <row r="126" spans="2:12">
      <c r="C126" s="90" t="str">
        <f>Hidden_Lists!D38</f>
        <v>Processed milk</v>
      </c>
      <c r="D126" s="90" t="str">
        <f>Hidden_Lists!D40</f>
        <v>Superchilled fish</v>
      </c>
      <c r="E126" s="90" t="str">
        <f>Hidden_Lists!D46</f>
        <v>Frozen eggs,offal, rabbit or poultry</v>
      </c>
      <c r="F126" s="90"/>
      <c r="G126" s="90" t="str">
        <f>Hidden_Lists!D44</f>
        <v>Frozen</v>
      </c>
      <c r="H126" s="90"/>
      <c r="I126" s="90"/>
    </row>
    <row r="127" spans="2:12">
      <c r="C127" s="26"/>
      <c r="D127" s="193"/>
      <c r="E127" s="26"/>
      <c r="F127" s="193"/>
      <c r="G127" s="193"/>
      <c r="H127" s="193"/>
      <c r="I127" s="25"/>
      <c r="J127" s="193"/>
      <c r="K127" s="193"/>
      <c r="L127" s="193"/>
    </row>
    <row r="128" spans="2:12">
      <c r="C128" s="193"/>
      <c r="D128" s="193"/>
      <c r="E128" s="26"/>
      <c r="F128" s="193"/>
      <c r="G128" s="193"/>
      <c r="H128" s="193"/>
      <c r="I128" s="25"/>
      <c r="J128" s="193"/>
      <c r="K128" s="193"/>
      <c r="L128" s="193"/>
    </row>
    <row r="129" spans="2:13">
      <c r="C129" s="192" t="str">
        <f>VLOOKUP("Hidden_Lists_Not_Included",Hidden_Translations!$B$11:$K$1184,Hidden_Translations!$C$8,FALSE)</f>
        <v>Not included:</v>
      </c>
      <c r="D129" s="26"/>
      <c r="E129" s="26"/>
      <c r="F129" s="26"/>
      <c r="G129" s="26"/>
      <c r="H129" s="26"/>
      <c r="I129" s="26"/>
      <c r="J129" s="26"/>
      <c r="K129" s="26"/>
      <c r="L129" s="26"/>
    </row>
    <row r="130" spans="2:13">
      <c r="C130" s="193" t="str">
        <f>Hidden_Lists!D36</f>
        <v>Cream</v>
      </c>
      <c r="D130" s="26" t="str">
        <f>Hidden_Lists!D41</f>
        <v>Frozen fish products</v>
      </c>
      <c r="E130" s="193" t="str">
        <f>Hidden_Lists!D47</f>
        <v>Frozen Meat</v>
      </c>
      <c r="F130" s="26"/>
      <c r="G130" s="26"/>
      <c r="H130" s="26"/>
      <c r="I130" s="26"/>
      <c r="J130" s="26"/>
      <c r="K130" s="26"/>
      <c r="L130" s="26"/>
    </row>
    <row r="131" spans="2:13">
      <c r="C131" s="26"/>
      <c r="D131" s="26"/>
      <c r="E131" s="193" t="str">
        <f>Hidden_Lists!D48</f>
        <v>Beef</v>
      </c>
      <c r="F131" s="26"/>
      <c r="G131" s="26"/>
      <c r="H131" s="26"/>
      <c r="I131" s="26"/>
      <c r="J131" s="26"/>
      <c r="K131" s="26"/>
      <c r="L131" s="26"/>
    </row>
    <row r="132" spans="2:13">
      <c r="C132" s="26"/>
      <c r="D132" s="26"/>
      <c r="E132" s="26"/>
      <c r="F132" s="26"/>
      <c r="G132" s="26"/>
      <c r="H132" s="26"/>
      <c r="I132" s="26"/>
      <c r="J132" s="26"/>
      <c r="K132" s="26"/>
      <c r="L132" s="26"/>
    </row>
    <row r="133" spans="2:13">
      <c r="C133" s="242" t="str">
        <f>VLOOKUP("Hidden_Lists_Selection_Table_1",Hidden_Translations!$B$11:$K$1184,Hidden_Translations!$C$8,FALSE)</f>
        <v>#1: Product group selection table</v>
      </c>
      <c r="D133" s="243"/>
      <c r="E133" s="243"/>
      <c r="F133" s="243"/>
      <c r="G133" s="243"/>
      <c r="H133" s="243"/>
      <c r="I133" s="243"/>
      <c r="J133" s="243"/>
      <c r="K133" s="243"/>
      <c r="L133" s="243"/>
    </row>
    <row r="134" spans="2:13">
      <c r="B134" s="30" t="str">
        <f>B124</f>
        <v xml:space="preserve">Product group: </v>
      </c>
      <c r="C134" s="254" t="str">
        <f>C124</f>
        <v>Dairy</v>
      </c>
      <c r="D134" s="41"/>
      <c r="E134" s="255" t="str">
        <f>D124</f>
        <v>Fish</v>
      </c>
      <c r="F134" s="41"/>
      <c r="G134" s="255" t="str">
        <f>E124</f>
        <v>Meat</v>
      </c>
      <c r="H134" s="41"/>
      <c r="I134" s="255" t="str">
        <f>F124</f>
        <v>Ready meals</v>
      </c>
      <c r="J134" s="255" t="str">
        <f>G124</f>
        <v>Fruits and vegetables</v>
      </c>
      <c r="K134" s="81"/>
      <c r="L134" s="255" t="str">
        <f>H124</f>
        <v>Individual products</v>
      </c>
    </row>
    <row r="135" spans="2:13">
      <c r="B135" s="30" t="str">
        <f>VLOOKUP("Hidden_Lists_Temp_Category2",Hidden_Translations!$B$11:$K$1184,Hidden_Translations!$C$8,FALSE)</f>
        <v xml:space="preserve">Temperature category: </v>
      </c>
      <c r="C135" s="41" t="str">
        <f>C125</f>
        <v>Cheese</v>
      </c>
      <c r="D135" s="41" t="str">
        <f>C126</f>
        <v>Processed milk</v>
      </c>
      <c r="E135" s="41" t="str">
        <f>D125</f>
        <v>Fresh fish (in ice)</v>
      </c>
      <c r="F135" s="41" t="str">
        <f>D126</f>
        <v>Superchilled fish</v>
      </c>
      <c r="G135" s="41" t="str">
        <f>E125</f>
        <v>Poultry, rabbit or gane</v>
      </c>
      <c r="H135" s="41" t="str">
        <f>E126</f>
        <v>Frozen eggs,offal, rabbit or poultry</v>
      </c>
      <c r="I135" s="41" t="str">
        <f>F125</f>
        <v>Cooked dishes and prepared meals</v>
      </c>
      <c r="J135" s="41" t="str">
        <f>D43</f>
        <v>Fresh</v>
      </c>
      <c r="K135" s="41" t="str">
        <f>D44</f>
        <v>Frozen</v>
      </c>
      <c r="L135" s="41">
        <f>H125</f>
        <v>0</v>
      </c>
    </row>
    <row r="136" spans="2:13">
      <c r="C136" s="90" t="str">
        <f>""</f>
        <v/>
      </c>
      <c r="D136" s="90" t="str">
        <f>""</f>
        <v/>
      </c>
      <c r="E136" s="90" t="str">
        <f>""</f>
        <v/>
      </c>
      <c r="F136" s="90" t="str">
        <f>""</f>
        <v/>
      </c>
      <c r="G136" s="90" t="str">
        <f>""</f>
        <v/>
      </c>
      <c r="H136" s="90" t="str">
        <f>""</f>
        <v/>
      </c>
      <c r="I136" s="90" t="str">
        <f>""</f>
        <v/>
      </c>
      <c r="J136" s="90" t="str">
        <f>""</f>
        <v/>
      </c>
      <c r="K136" s="90" t="str">
        <f>""</f>
        <v/>
      </c>
      <c r="L136" s="90" t="str">
        <f>""</f>
        <v/>
      </c>
      <c r="M136" s="357" t="s">
        <v>263</v>
      </c>
    </row>
    <row r="137" spans="2:13">
      <c r="C137" s="90" t="str">
        <f>Hidden_Database!C16</f>
        <v>Processed Milk</v>
      </c>
      <c r="D137" s="90" t="str">
        <f>Hidden_Database!C16</f>
        <v>Processed Milk</v>
      </c>
      <c r="E137" s="90" t="str">
        <f>Hidden_Database!C22</f>
        <v>Fresh fish (in ice)</v>
      </c>
      <c r="F137" s="90" t="str">
        <f>Hidden_Database!C22</f>
        <v>Fresh fish (in ice)</v>
      </c>
      <c r="G137" s="90" t="str">
        <f>Hidden_Database!C18</f>
        <v>Chicken</v>
      </c>
      <c r="H137" s="90" t="str">
        <f>Hidden_Database!C18</f>
        <v>Chicken</v>
      </c>
      <c r="I137" s="90" t="str">
        <f>Hidden_Database!C27</f>
        <v>Apple</v>
      </c>
      <c r="J137" s="90" t="str">
        <f>Hidden_Database!C27</f>
        <v>Apple</v>
      </c>
      <c r="K137" s="90" t="str">
        <f>Hidden_Database!C27</f>
        <v>Apple</v>
      </c>
      <c r="L137" s="90">
        <f>Hidden_Database!C24</f>
        <v>0</v>
      </c>
    </row>
    <row r="138" spans="2:13">
      <c r="C138" s="90" t="str">
        <f>Hidden_Database!C17</f>
        <v>Cheese</v>
      </c>
      <c r="D138" s="90" t="str">
        <f>Hidden_Database!C17</f>
        <v>Cheese</v>
      </c>
      <c r="E138" s="90" t="str">
        <f>Hidden_Database!C23</f>
        <v>Frozen fish</v>
      </c>
      <c r="F138" s="90" t="str">
        <f>Hidden_Database!C23</f>
        <v>Frozen fish</v>
      </c>
      <c r="G138" s="90" t="str">
        <f>Hidden_Database!C19</f>
        <v>Pork</v>
      </c>
      <c r="H138" s="90" t="str">
        <f>Hidden_Database!C19</f>
        <v>Pork</v>
      </c>
      <c r="I138" s="90" t="str">
        <f>Hidden_Database!C28</f>
        <v>Avocado</v>
      </c>
      <c r="J138" s="90" t="str">
        <f>Hidden_Database!C28</f>
        <v>Avocado</v>
      </c>
      <c r="K138" s="90" t="str">
        <f>Hidden_Database!C28</f>
        <v>Avocado</v>
      </c>
      <c r="L138" s="90"/>
    </row>
    <row r="139" spans="2:13">
      <c r="C139" s="90"/>
      <c r="D139" s="90"/>
      <c r="E139" s="90"/>
      <c r="F139" s="90"/>
      <c r="G139" s="90" t="str">
        <f>Hidden_Database!C20</f>
        <v>Beef</v>
      </c>
      <c r="H139" s="90" t="str">
        <f>Hidden_Database!C20</f>
        <v>Beef</v>
      </c>
      <c r="I139" s="90" t="str">
        <f>Hidden_Database!C29</f>
        <v>Banana</v>
      </c>
      <c r="J139" s="90" t="str">
        <f>Hidden_Database!C29</f>
        <v>Banana</v>
      </c>
      <c r="K139" s="90" t="str">
        <f>Hidden_Database!C29</f>
        <v>Banana</v>
      </c>
      <c r="L139" s="90"/>
    </row>
    <row r="140" spans="2:13">
      <c r="C140" s="90"/>
      <c r="D140" s="90"/>
      <c r="E140" s="90"/>
      <c r="F140" s="90"/>
      <c r="G140" s="90" t="str">
        <f>Hidden_Database!C21</f>
        <v>Eggs</v>
      </c>
      <c r="H140" s="90" t="str">
        <f>Hidden_Database!C21</f>
        <v>Eggs</v>
      </c>
      <c r="I140" s="90" t="str">
        <f>Hidden_Database!C30</f>
        <v>Fresh Orange</v>
      </c>
      <c r="J140" s="90" t="str">
        <f>Hidden_Database!C30</f>
        <v>Fresh Orange</v>
      </c>
      <c r="K140" s="90" t="str">
        <f>Hidden_Database!C30</f>
        <v>Fresh Orange</v>
      </c>
      <c r="L140" s="90"/>
    </row>
    <row r="141" spans="2:13">
      <c r="C141" s="90"/>
      <c r="D141" s="90"/>
      <c r="E141" s="90"/>
      <c r="F141" s="90"/>
      <c r="G141" s="90"/>
      <c r="H141" s="90"/>
      <c r="I141" s="90" t="str">
        <f>Hidden_Database!C31</f>
        <v>Peach</v>
      </c>
      <c r="J141" s="90" t="str">
        <f>Hidden_Database!C31</f>
        <v>Peach</v>
      </c>
      <c r="K141" s="90" t="str">
        <f>Hidden_Database!C31</f>
        <v>Peach</v>
      </c>
      <c r="L141" s="90"/>
    </row>
    <row r="142" spans="2:13">
      <c r="C142" s="90"/>
      <c r="D142" s="90"/>
      <c r="E142" s="90"/>
      <c r="F142" s="90"/>
      <c r="G142" s="90"/>
      <c r="H142" s="90"/>
      <c r="I142" s="90" t="str">
        <f>Hidden_Database!C32</f>
        <v>Strawberry</v>
      </c>
      <c r="J142" s="90" t="str">
        <f>Hidden_Database!C32</f>
        <v>Strawberry</v>
      </c>
      <c r="K142" s="90" t="str">
        <f>Hidden_Database!C32</f>
        <v>Strawberry</v>
      </c>
      <c r="L142" s="90"/>
    </row>
    <row r="143" spans="2:13">
      <c r="C143" s="90"/>
      <c r="D143" s="90"/>
      <c r="E143" s="90"/>
      <c r="F143" s="90"/>
      <c r="G143" s="90"/>
      <c r="H143" s="90"/>
      <c r="I143" s="90" t="str">
        <f>Hidden_Database!C33</f>
        <v>Fresh Tomato</v>
      </c>
      <c r="J143" s="90" t="str">
        <f>Hidden_Database!C33</f>
        <v>Fresh Tomato</v>
      </c>
      <c r="K143" s="90" t="str">
        <f>Hidden_Database!C33</f>
        <v>Fresh Tomato</v>
      </c>
      <c r="L143" s="90"/>
    </row>
    <row r="144" spans="2:13">
      <c r="C144" s="90"/>
      <c r="D144" s="90"/>
      <c r="E144" s="90"/>
      <c r="F144" s="90"/>
      <c r="G144" s="90"/>
      <c r="H144" s="90"/>
      <c r="I144" s="90" t="str">
        <f>Hidden_Database!C34</f>
        <v>Carrot</v>
      </c>
      <c r="J144" s="90" t="str">
        <f>Hidden_Database!C34</f>
        <v>Carrot</v>
      </c>
      <c r="K144" s="90" t="str">
        <f>Hidden_Database!C34</f>
        <v>Carrot</v>
      </c>
      <c r="L144" s="90"/>
    </row>
    <row r="145" spans="3:13">
      <c r="C145" s="90"/>
      <c r="D145" s="90"/>
      <c r="E145" s="90"/>
      <c r="F145" s="90"/>
      <c r="G145" s="90"/>
      <c r="H145" s="90"/>
      <c r="I145" s="90" t="str">
        <f>Hidden_Database!C35</f>
        <v>Onion</v>
      </c>
      <c r="J145" s="90" t="str">
        <f>Hidden_Database!C35</f>
        <v>Onion</v>
      </c>
      <c r="K145" s="90" t="str">
        <f>Hidden_Database!C35</f>
        <v>Onion</v>
      </c>
      <c r="L145" s="90"/>
    </row>
    <row r="146" spans="3:13">
      <c r="C146" s="90"/>
      <c r="D146" s="90"/>
      <c r="E146" s="90"/>
      <c r="F146" s="90"/>
      <c r="G146" s="90"/>
      <c r="H146" s="90"/>
      <c r="I146" s="90" t="str">
        <f>Hidden_Database!C36</f>
        <v>Potato</v>
      </c>
      <c r="J146" s="90" t="str">
        <f>Hidden_Database!C36</f>
        <v>Potato</v>
      </c>
      <c r="K146" s="90" t="str">
        <f>Hidden_Database!C36</f>
        <v>Potato</v>
      </c>
      <c r="L146" s="90"/>
    </row>
    <row r="147" spans="3:13">
      <c r="C147" s="90"/>
      <c r="D147" s="90"/>
      <c r="E147" s="90"/>
      <c r="F147" s="90"/>
      <c r="G147" s="90"/>
      <c r="H147" s="90"/>
      <c r="I147" s="90" t="str">
        <f>Hidden_Database!C37</f>
        <v>Lettuce</v>
      </c>
      <c r="J147" s="90" t="str">
        <f>Hidden_Database!C37</f>
        <v>Lettuce</v>
      </c>
      <c r="K147" s="90" t="str">
        <f>Hidden_Database!C37</f>
        <v>Lettuce</v>
      </c>
      <c r="L147" s="90"/>
    </row>
    <row r="148" spans="3:13">
      <c r="C148" s="65"/>
      <c r="D148" s="25"/>
      <c r="E148" s="25"/>
      <c r="F148" s="25"/>
      <c r="G148" s="25"/>
      <c r="H148" s="25"/>
      <c r="I148" s="25"/>
      <c r="J148" s="25"/>
      <c r="K148" s="25"/>
      <c r="L148" s="25"/>
    </row>
    <row r="149" spans="3:13">
      <c r="C149" s="242" t="s">
        <v>253</v>
      </c>
      <c r="D149" s="243"/>
      <c r="E149" s="243"/>
      <c r="F149" s="243"/>
      <c r="G149" s="243"/>
      <c r="H149" s="243"/>
      <c r="I149" s="243"/>
      <c r="J149" s="243"/>
      <c r="K149" s="243"/>
      <c r="L149" s="243"/>
    </row>
    <row r="150" spans="3:13">
      <c r="C150" s="65"/>
      <c r="D150" s="25"/>
      <c r="E150" s="25"/>
      <c r="F150" s="25"/>
      <c r="G150" s="25"/>
      <c r="H150" s="25"/>
      <c r="I150" s="25"/>
      <c r="J150" s="25"/>
      <c r="K150" s="25"/>
      <c r="L150" s="25"/>
    </row>
    <row r="151" spans="3:13">
      <c r="C151" s="255" t="s">
        <v>236</v>
      </c>
      <c r="D151" s="255" t="s">
        <v>237</v>
      </c>
      <c r="E151" s="255" t="s">
        <v>235</v>
      </c>
      <c r="F151" s="255" t="s">
        <v>238</v>
      </c>
      <c r="G151" s="255" t="s">
        <v>243</v>
      </c>
      <c r="H151" s="297"/>
      <c r="I151" s="25"/>
      <c r="J151" s="25"/>
      <c r="K151" s="25"/>
      <c r="L151" s="25"/>
    </row>
    <row r="152" spans="3:13">
      <c r="C152" s="25"/>
      <c r="D152" s="26"/>
      <c r="E152" s="26"/>
      <c r="F152" s="191"/>
      <c r="G152" s="26"/>
      <c r="H152" s="26"/>
      <c r="I152" s="25"/>
      <c r="J152" s="25"/>
      <c r="K152" s="25"/>
      <c r="L152" s="25"/>
      <c r="M152" s="357" t="s">
        <v>321</v>
      </c>
    </row>
    <row r="153" spans="3:13" s="378" customFormat="1">
      <c r="C153" s="25" t="str">
        <f>Hidden_Lists!C36</f>
        <v>Dairy</v>
      </c>
      <c r="D153" s="26">
        <f>Input!D45</f>
        <v>0</v>
      </c>
      <c r="E153" s="26" t="e">
        <f>IF(HLOOKUP(D153,$C$124:$L$128,2,FALSE)&lt;&gt;"",HLOOKUP(D153,$C$124:$L$128,2,FALSE),"")</f>
        <v>#N/A</v>
      </c>
      <c r="F153" s="191">
        <f>Input!D46</f>
        <v>0</v>
      </c>
      <c r="G153" s="26">
        <f>IF(HLOOKUP(F153,$C$135:$L$147,3,FALSE)&lt;&gt;"",HLOOKUP(F153,$C$135:$L$147,3,FALSE),"")</f>
        <v>0</v>
      </c>
      <c r="H153" s="26"/>
      <c r="I153" s="25"/>
      <c r="J153" s="25"/>
      <c r="K153" s="25"/>
      <c r="L153" s="25"/>
    </row>
    <row r="154" spans="3:13">
      <c r="C154" s="25" t="str">
        <f>Hidden_Lists!C39</f>
        <v>Fish</v>
      </c>
      <c r="D154" s="26"/>
      <c r="E154" s="26" t="e">
        <f>IF(HLOOKUP(D153,$C$124:$L$128,3,FALSE)&lt;&gt;"",HLOOKUP(D153,$C$124:$L$128,3,FALSE),"")</f>
        <v>#N/A</v>
      </c>
      <c r="F154" s="26"/>
      <c r="G154" s="26" t="str">
        <f>IF(HLOOKUP(F153,$C$135:$L$147,4,FALSE)&lt;&gt;"",HLOOKUP(F153,$C$135:$L$147,4,FALSE),"")</f>
        <v/>
      </c>
      <c r="H154" s="26"/>
      <c r="I154" s="25"/>
      <c r="J154" s="25"/>
      <c r="K154" s="25"/>
      <c r="L154" s="25"/>
    </row>
    <row r="155" spans="3:13">
      <c r="C155" s="25" t="str">
        <f>Hidden_Lists!C43</f>
        <v>Fruits and vegetables</v>
      </c>
      <c r="D155" s="26"/>
      <c r="E155" s="26"/>
      <c r="F155" s="26"/>
      <c r="G155" s="26" t="str">
        <f>IF(HLOOKUP(F153,$C$135:$L$147,5,FALSE)&lt;&gt;"",HLOOKUP(F153,$C$135:$L$147,5,FALSE),"")</f>
        <v/>
      </c>
      <c r="H155" s="26"/>
      <c r="I155" s="25"/>
      <c r="J155" s="25"/>
      <c r="K155" s="25"/>
      <c r="L155" s="25"/>
    </row>
    <row r="156" spans="3:13">
      <c r="C156" s="26" t="str">
        <f>Hidden_Lists!C45</f>
        <v>Meat</v>
      </c>
      <c r="D156" s="26" t="e">
        <f>IF(HLOOKUP(Input!D45,$C$124:$L$128,5,FALSE)&lt;&gt;"",HLOOKUP(Input!D45,$C$124:$L$128,5,FALSE),"")</f>
        <v>#N/A</v>
      </c>
      <c r="E156" s="26"/>
      <c r="F156" s="26"/>
      <c r="G156" s="26" t="str">
        <f>IF(HLOOKUP(F153,$C$135:$L$147,6,FALSE)&lt;&gt;"",HLOOKUP(F153,$C$135:$L$147,6,FALSE),"")</f>
        <v/>
      </c>
      <c r="H156" s="26"/>
      <c r="I156" s="25"/>
      <c r="J156" s="25"/>
      <c r="K156" s="25"/>
      <c r="L156" s="25"/>
    </row>
    <row r="157" spans="3:13">
      <c r="C157" s="25" t="str">
        <f>Hidden_Lists!C42</f>
        <v>Ready meals</v>
      </c>
      <c r="D157" s="26"/>
      <c r="E157" s="25"/>
      <c r="F157" s="26"/>
      <c r="G157" s="26" t="str">
        <f>IF(HLOOKUP(F153,$C$135:$L$147,7,FALSE)&lt;&gt;"",HLOOKUP(F153,$C$135:$L$147,7,FALSE),"")</f>
        <v/>
      </c>
      <c r="H157" s="25"/>
      <c r="I157" s="25"/>
      <c r="J157" s="25"/>
      <c r="K157" s="25"/>
      <c r="L157" s="25"/>
    </row>
    <row r="158" spans="3:13">
      <c r="C158" s="26" t="str">
        <f>Hidden_Lists!C49</f>
        <v>Individual products</v>
      </c>
      <c r="D158" s="25"/>
      <c r="E158" s="26"/>
      <c r="F158" s="26"/>
      <c r="G158" s="26" t="str">
        <f>IF(HLOOKUP(F153,$C$135:$L$147,8,FALSE)&lt;&gt;"",HLOOKUP(F153,$C$135:$L$147,8,FALSE),"")</f>
        <v/>
      </c>
      <c r="H158" s="26"/>
      <c r="I158" s="25"/>
      <c r="J158" s="25"/>
      <c r="K158" s="25"/>
      <c r="L158" s="25"/>
    </row>
    <row r="159" spans="3:13">
      <c r="C159" s="26"/>
      <c r="D159" s="26"/>
      <c r="E159" s="26"/>
      <c r="F159" s="26"/>
      <c r="G159" s="26" t="str">
        <f>IF(HLOOKUP(F153,$C$135:$L$147,9,FALSE)&lt;&gt;"",HLOOKUP(F153,$C$135:$L$147,9,FALSE),"")</f>
        <v/>
      </c>
      <c r="H159" s="26"/>
      <c r="I159" s="25"/>
      <c r="J159" s="25"/>
      <c r="K159" s="25"/>
      <c r="L159" s="25"/>
    </row>
    <row r="160" spans="3:13">
      <c r="D160" s="26"/>
      <c r="E160" s="26"/>
      <c r="F160" s="26"/>
      <c r="G160" s="26" t="str">
        <f>IF(HLOOKUP(F153,$C$135:$L$147,10,FALSE)&lt;&gt;"",HLOOKUP(F153,$C$135:$L$147,10,FALSE),"")</f>
        <v/>
      </c>
      <c r="H160" s="26"/>
      <c r="I160" s="25"/>
      <c r="J160" s="25"/>
      <c r="K160" s="25"/>
      <c r="L160" s="25"/>
    </row>
    <row r="161" spans="3:12">
      <c r="E161" s="26"/>
      <c r="F161" s="26"/>
      <c r="G161" s="26" t="str">
        <f>IF(HLOOKUP(F153,$C$135:$L$147,11,FALSE)&lt;&gt;"",HLOOKUP(F153,$C$135:$L$147,11,FALSE),"")</f>
        <v/>
      </c>
      <c r="H161" s="26"/>
      <c r="I161" s="25"/>
      <c r="J161" s="25"/>
      <c r="K161" s="25"/>
      <c r="L161" s="25"/>
    </row>
    <row r="162" spans="3:12">
      <c r="E162" s="26"/>
      <c r="F162" s="26"/>
      <c r="G162" s="26" t="str">
        <f>IF(HLOOKUP(F153,$C$135:$L$147,12,FALSE)&lt;&gt;"",HLOOKUP(F153,$C$135:$L$147,12,FALSE),"")</f>
        <v/>
      </c>
      <c r="H162" s="26"/>
      <c r="I162" s="25"/>
      <c r="J162" s="25"/>
      <c r="K162" s="25"/>
      <c r="L162" s="25"/>
    </row>
    <row r="163" spans="3:12">
      <c r="C163" s="26"/>
      <c r="D163" s="26"/>
      <c r="E163" s="26"/>
      <c r="F163" s="26"/>
      <c r="H163" s="26"/>
      <c r="I163" s="25"/>
      <c r="J163" s="25"/>
      <c r="K163" s="25"/>
      <c r="L163" s="25"/>
    </row>
    <row r="164" spans="3:12">
      <c r="C164" s="26"/>
      <c r="D164" s="26"/>
      <c r="E164" s="26"/>
      <c r="F164" s="26"/>
      <c r="G164" s="26"/>
      <c r="H164" s="26"/>
      <c r="I164" s="25"/>
      <c r="J164" s="25"/>
      <c r="K164" s="25"/>
      <c r="L164" s="25"/>
    </row>
    <row r="165" spans="3:12">
      <c r="I165" s="25"/>
      <c r="J165" s="25"/>
      <c r="K165" s="25"/>
      <c r="L165" s="25"/>
    </row>
    <row r="166" spans="3:12">
      <c r="I166" s="25"/>
      <c r="J166" s="25"/>
      <c r="K166" s="25"/>
      <c r="L166" s="25"/>
    </row>
    <row r="167" spans="3:12">
      <c r="I167" s="25"/>
      <c r="J167" s="25"/>
      <c r="K167" s="25"/>
      <c r="L167" s="25"/>
    </row>
    <row r="168" spans="3:12">
      <c r="I168" s="25"/>
      <c r="J168" s="25"/>
      <c r="K168" s="25"/>
      <c r="L168" s="25"/>
    </row>
    <row r="169" spans="3:12">
      <c r="I169" s="25"/>
      <c r="J169" s="25"/>
      <c r="K169" s="25"/>
      <c r="L169" s="25"/>
    </row>
  </sheetData>
  <sheetProtection selectLockedCells="1" selectUnlockedCells="1"/>
  <mergeCells count="24">
    <mergeCell ref="C52:D52"/>
    <mergeCell ref="E52:F52"/>
    <mergeCell ref="G52:H52"/>
    <mergeCell ref="B6:G6"/>
    <mergeCell ref="C45:C48"/>
    <mergeCell ref="C36:C38"/>
    <mergeCell ref="C39:C41"/>
    <mergeCell ref="C43:C44"/>
    <mergeCell ref="I52:J52"/>
    <mergeCell ref="K52:L52"/>
    <mergeCell ref="C73:D73"/>
    <mergeCell ref="E73:F73"/>
    <mergeCell ref="G73:H73"/>
    <mergeCell ref="C62:D62"/>
    <mergeCell ref="E62:F62"/>
    <mergeCell ref="G62:H62"/>
    <mergeCell ref="C71:D71"/>
    <mergeCell ref="E71:F71"/>
    <mergeCell ref="G71:H71"/>
    <mergeCell ref="C64:D64"/>
    <mergeCell ref="E64:F64"/>
    <mergeCell ref="G64:H64"/>
    <mergeCell ref="C54:C55"/>
    <mergeCell ref="E54:E55"/>
  </mergeCells>
  <conditionalFormatting sqref="C66:H69">
    <cfRule type="expression" dxfId="3" priority="4">
      <formula>MOD(ROW(),2)=0</formula>
    </cfRule>
  </conditionalFormatting>
  <conditionalFormatting sqref="C75:H120">
    <cfRule type="expression" dxfId="2" priority="3">
      <formula>MOD(ROW(),2)=0</formula>
    </cfRule>
  </conditionalFormatting>
  <conditionalFormatting sqref="C125:I126">
    <cfRule type="expression" dxfId="1" priority="2">
      <formula>MOD(ROW(),2)=0</formula>
    </cfRule>
  </conditionalFormatting>
  <conditionalFormatting sqref="C136:L147">
    <cfRule type="expression" dxfId="0" priority="1">
      <formula>MOD(ROW(),2)=0</formula>
    </cfRule>
  </conditionalFormatting>
  <pageMargins left="0.7" right="0.7" top="0.78740157499999996" bottom="0.78740157499999996" header="0.3" footer="0.3"/>
  <pageSetup paperSize="9"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499984740745262"/>
  </sheetPr>
  <dimension ref="B2:K442"/>
  <sheetViews>
    <sheetView zoomScaleNormal="100" workbookViewId="0">
      <pane xSplit="3" topLeftCell="D1" activePane="topRight" state="frozen"/>
      <selection pane="topRight"/>
    </sheetView>
  </sheetViews>
  <sheetFormatPr baseColWidth="10" defaultColWidth="12.5703125" defaultRowHeight="15"/>
  <cols>
    <col min="1" max="1" width="4.140625" style="8" customWidth="1"/>
    <col min="2" max="2" width="47.140625" style="3" customWidth="1"/>
    <col min="3" max="4" width="69.28515625" style="11" customWidth="1"/>
    <col min="5" max="11" width="69.28515625" style="8" customWidth="1"/>
    <col min="12" max="16384" width="12.5703125" style="8"/>
  </cols>
  <sheetData>
    <row r="2" spans="2:11" ht="18.75">
      <c r="B2" s="1" t="str">
        <f>VLOOKUP("General_Header",Hidden_Translations!$B$11:$J$36,Hidden_Translations!$C$8,FALSE)</f>
        <v>Improving Cold Chain Energy Efficiency (ICCEE project)</v>
      </c>
      <c r="C2" s="354"/>
      <c r="D2" s="354"/>
      <c r="E2" s="7"/>
      <c r="F2" s="7"/>
      <c r="G2" s="7"/>
      <c r="H2" s="7"/>
      <c r="I2" s="7"/>
      <c r="J2" s="7"/>
    </row>
    <row r="4" spans="2:11" ht="18.75">
      <c r="B4" s="4" t="s">
        <v>320</v>
      </c>
      <c r="C4" s="355"/>
      <c r="D4" s="355"/>
      <c r="E4" s="9"/>
      <c r="F4" s="9"/>
      <c r="G4" s="9"/>
      <c r="H4" s="9"/>
      <c r="I4" s="9"/>
      <c r="J4" s="9"/>
      <c r="K4" s="366"/>
    </row>
    <row r="6" spans="2:11">
      <c r="B6" s="507" t="s">
        <v>64</v>
      </c>
      <c r="C6" s="507"/>
      <c r="D6" s="507"/>
      <c r="E6" s="507"/>
      <c r="F6" s="507"/>
      <c r="G6" s="507"/>
      <c r="H6" s="507"/>
      <c r="I6" s="507"/>
      <c r="J6" s="507"/>
      <c r="K6" s="507"/>
    </row>
    <row r="8" spans="2:11">
      <c r="B8" s="81" t="s">
        <v>4</v>
      </c>
      <c r="C8" s="11">
        <f>VLOOKUP(Info!C8,Hidden_Lists!C10:D17,2,FALSE)+1</f>
        <v>2</v>
      </c>
    </row>
    <row r="9" spans="2:11">
      <c r="D9" s="358"/>
    </row>
    <row r="10" spans="2:11">
      <c r="B10" s="35" t="s">
        <v>5</v>
      </c>
      <c r="C10" s="35" t="s">
        <v>3</v>
      </c>
      <c r="D10" s="35" t="s">
        <v>6</v>
      </c>
      <c r="E10" s="35" t="s">
        <v>7</v>
      </c>
      <c r="F10" s="35" t="s">
        <v>8</v>
      </c>
      <c r="G10" s="35" t="s">
        <v>1094</v>
      </c>
      <c r="H10" s="35" t="s">
        <v>9</v>
      </c>
      <c r="I10" s="35" t="s">
        <v>10</v>
      </c>
      <c r="J10" s="35" t="s">
        <v>11</v>
      </c>
      <c r="K10" s="365"/>
    </row>
    <row r="11" spans="2:11">
      <c r="B11" s="36" t="s">
        <v>12</v>
      </c>
      <c r="C11" s="17" t="s">
        <v>13</v>
      </c>
      <c r="D11" s="17" t="s">
        <v>14</v>
      </c>
      <c r="E11" s="381" t="s">
        <v>2665</v>
      </c>
      <c r="F11" s="17" t="s">
        <v>2666</v>
      </c>
      <c r="G11" s="17" t="s">
        <v>1724</v>
      </c>
      <c r="H11" s="17" t="s">
        <v>2667</v>
      </c>
      <c r="I11" s="377" t="s">
        <v>2669</v>
      </c>
      <c r="J11" s="17" t="s">
        <v>2668</v>
      </c>
      <c r="K11" s="29"/>
    </row>
    <row r="12" spans="2:11">
      <c r="B12" s="37" t="s">
        <v>15</v>
      </c>
      <c r="C12" s="382" t="s">
        <v>300</v>
      </c>
      <c r="D12" s="382" t="s">
        <v>301</v>
      </c>
      <c r="E12" s="381" t="s">
        <v>1109</v>
      </c>
      <c r="F12" s="380" t="s">
        <v>1422</v>
      </c>
      <c r="G12" s="380" t="s">
        <v>1725</v>
      </c>
      <c r="H12" s="380" t="s">
        <v>2041</v>
      </c>
      <c r="I12" s="382" t="s">
        <v>2670</v>
      </c>
      <c r="J12" s="382" t="s">
        <v>2370</v>
      </c>
      <c r="K12" s="29"/>
    </row>
    <row r="13" spans="2:11" ht="60">
      <c r="B13" s="38" t="s">
        <v>16</v>
      </c>
      <c r="C13" s="382" t="s">
        <v>367</v>
      </c>
      <c r="D13" s="382" t="s">
        <v>388</v>
      </c>
      <c r="E13" s="384" t="s">
        <v>1110</v>
      </c>
      <c r="F13" s="380" t="s">
        <v>1423</v>
      </c>
      <c r="G13" s="380" t="s">
        <v>1726</v>
      </c>
      <c r="H13" s="380" t="s">
        <v>2042</v>
      </c>
      <c r="I13" s="381" t="s">
        <v>2671</v>
      </c>
      <c r="J13" s="382" t="s">
        <v>2371</v>
      </c>
      <c r="K13" s="29"/>
    </row>
    <row r="14" spans="2:11">
      <c r="B14" s="38" t="s">
        <v>17</v>
      </c>
      <c r="C14" s="381" t="s">
        <v>18</v>
      </c>
      <c r="D14" s="381" t="s">
        <v>19</v>
      </c>
      <c r="E14" s="381" t="s">
        <v>1111</v>
      </c>
      <c r="F14" s="380" t="s">
        <v>1424</v>
      </c>
      <c r="G14" s="384" t="s">
        <v>1727</v>
      </c>
      <c r="H14" s="380" t="s">
        <v>2043</v>
      </c>
      <c r="I14" s="381" t="s">
        <v>2672</v>
      </c>
      <c r="J14" s="382" t="s">
        <v>2372</v>
      </c>
      <c r="K14" s="29"/>
    </row>
    <row r="15" spans="2:11" ht="75">
      <c r="B15" s="38" t="s">
        <v>1093</v>
      </c>
      <c r="C15" s="381" t="s">
        <v>1091</v>
      </c>
      <c r="D15" s="363" t="s">
        <v>1092</v>
      </c>
      <c r="E15" s="381" t="s">
        <v>1112</v>
      </c>
      <c r="F15" s="380" t="s">
        <v>1425</v>
      </c>
      <c r="G15" s="380" t="s">
        <v>1728</v>
      </c>
      <c r="H15" s="380" t="s">
        <v>2044</v>
      </c>
      <c r="I15" s="381" t="s">
        <v>2673</v>
      </c>
      <c r="J15" s="382" t="s">
        <v>2373</v>
      </c>
      <c r="K15" s="29"/>
    </row>
    <row r="16" spans="2:11">
      <c r="B16" s="37" t="s">
        <v>20</v>
      </c>
      <c r="C16" s="381" t="s">
        <v>21</v>
      </c>
      <c r="D16" s="381" t="s">
        <v>21</v>
      </c>
      <c r="E16" s="381" t="s">
        <v>1113</v>
      </c>
      <c r="F16" s="380" t="s">
        <v>1426</v>
      </c>
      <c r="G16" s="384" t="s">
        <v>1729</v>
      </c>
      <c r="H16" s="380" t="s">
        <v>2045</v>
      </c>
      <c r="I16" s="381" t="s">
        <v>2674</v>
      </c>
      <c r="J16" s="382" t="s">
        <v>2374</v>
      </c>
      <c r="K16" s="29"/>
    </row>
    <row r="17" spans="2:11">
      <c r="B17" s="37" t="s">
        <v>22</v>
      </c>
      <c r="C17" s="381" t="s">
        <v>23</v>
      </c>
      <c r="D17" s="381" t="s">
        <v>24</v>
      </c>
      <c r="E17" s="381" t="s">
        <v>1114</v>
      </c>
      <c r="F17" s="380" t="s">
        <v>1427</v>
      </c>
      <c r="G17" s="384" t="s">
        <v>1730</v>
      </c>
      <c r="H17" s="380" t="s">
        <v>2046</v>
      </c>
      <c r="I17" s="381" t="s">
        <v>2675</v>
      </c>
      <c r="J17" s="382" t="s">
        <v>2375</v>
      </c>
      <c r="K17" s="29"/>
    </row>
    <row r="18" spans="2:11" ht="81" customHeight="1">
      <c r="B18" s="38" t="s">
        <v>63</v>
      </c>
      <c r="C18" s="382" t="s">
        <v>588</v>
      </c>
      <c r="D18" s="382" t="s">
        <v>589</v>
      </c>
      <c r="E18" s="384" t="s">
        <v>1115</v>
      </c>
      <c r="F18" s="370" t="s">
        <v>1428</v>
      </c>
      <c r="G18" s="384" t="s">
        <v>1731</v>
      </c>
      <c r="H18" s="380" t="s">
        <v>2047</v>
      </c>
      <c r="I18" s="384" t="s">
        <v>2676</v>
      </c>
      <c r="J18" s="382" t="s">
        <v>2376</v>
      </c>
      <c r="K18" s="29"/>
    </row>
    <row r="19" spans="2:11" ht="90">
      <c r="B19" s="38" t="s">
        <v>62</v>
      </c>
      <c r="C19" s="382" t="s">
        <v>368</v>
      </c>
      <c r="D19" s="382" t="s">
        <v>590</v>
      </c>
      <c r="E19" s="384" t="s">
        <v>1116</v>
      </c>
      <c r="F19" s="380" t="s">
        <v>1429</v>
      </c>
      <c r="G19" s="380" t="s">
        <v>1732</v>
      </c>
      <c r="H19" s="380" t="s">
        <v>2048</v>
      </c>
      <c r="I19" s="380" t="s">
        <v>2677</v>
      </c>
      <c r="J19" s="382" t="s">
        <v>2377</v>
      </c>
      <c r="K19" s="29"/>
    </row>
    <row r="20" spans="2:11" ht="51" customHeight="1">
      <c r="B20" s="38" t="s">
        <v>61</v>
      </c>
      <c r="C20" s="382" t="s">
        <v>369</v>
      </c>
      <c r="D20" s="382" t="s">
        <v>592</v>
      </c>
      <c r="E20" s="384" t="s">
        <v>1117</v>
      </c>
      <c r="F20" s="370" t="s">
        <v>1430</v>
      </c>
      <c r="G20" s="384" t="s">
        <v>1733</v>
      </c>
      <c r="H20" s="380" t="s">
        <v>2049</v>
      </c>
      <c r="I20" s="384" t="s">
        <v>2678</v>
      </c>
      <c r="J20" s="382" t="s">
        <v>2378</v>
      </c>
      <c r="K20" s="29"/>
    </row>
    <row r="21" spans="2:11" ht="120">
      <c r="B21" s="38" t="s">
        <v>387</v>
      </c>
      <c r="C21" s="373" t="s">
        <v>370</v>
      </c>
      <c r="D21" s="382" t="s">
        <v>593</v>
      </c>
      <c r="E21" s="384" t="s">
        <v>1118</v>
      </c>
      <c r="F21" s="380" t="s">
        <v>1431</v>
      </c>
      <c r="G21" s="380" t="s">
        <v>1734</v>
      </c>
      <c r="H21" s="380" t="s">
        <v>2050</v>
      </c>
      <c r="I21" s="384" t="s">
        <v>2679</v>
      </c>
      <c r="J21" s="373" t="s">
        <v>2379</v>
      </c>
      <c r="K21" s="29"/>
    </row>
    <row r="22" spans="2:11">
      <c r="B22" s="37" t="s">
        <v>25</v>
      </c>
      <c r="C22" s="381" t="s">
        <v>26</v>
      </c>
      <c r="D22" s="381" t="s">
        <v>27</v>
      </c>
      <c r="E22" s="384" t="s">
        <v>1119</v>
      </c>
      <c r="F22" s="380" t="s">
        <v>1432</v>
      </c>
      <c r="G22" s="384" t="s">
        <v>1735</v>
      </c>
      <c r="H22" s="380" t="s">
        <v>2051</v>
      </c>
      <c r="I22" s="381" t="s">
        <v>2680</v>
      </c>
      <c r="J22" s="382" t="s">
        <v>2380</v>
      </c>
      <c r="K22" s="29"/>
    </row>
    <row r="23" spans="2:11" ht="30">
      <c r="B23" s="37" t="s">
        <v>28</v>
      </c>
      <c r="C23" s="381" t="s">
        <v>29</v>
      </c>
      <c r="D23" s="381" t="s">
        <v>30</v>
      </c>
      <c r="E23" s="381" t="s">
        <v>1120</v>
      </c>
      <c r="F23" s="380" t="s">
        <v>1433</v>
      </c>
      <c r="G23" s="380" t="s">
        <v>1736</v>
      </c>
      <c r="H23" s="380" t="s">
        <v>2052</v>
      </c>
      <c r="I23" s="381" t="s">
        <v>2681</v>
      </c>
      <c r="J23" s="382" t="s">
        <v>2381</v>
      </c>
      <c r="K23" s="29"/>
    </row>
    <row r="24" spans="2:11">
      <c r="B24" s="37" t="s">
        <v>31</v>
      </c>
      <c r="C24" s="381" t="s">
        <v>32</v>
      </c>
      <c r="D24" s="381" t="s">
        <v>33</v>
      </c>
      <c r="E24" s="381" t="s">
        <v>1121</v>
      </c>
      <c r="F24" s="380" t="s">
        <v>1434</v>
      </c>
      <c r="G24" s="380" t="s">
        <v>1737</v>
      </c>
      <c r="H24" s="380" t="s">
        <v>2053</v>
      </c>
      <c r="I24" s="381" t="s">
        <v>2682</v>
      </c>
      <c r="J24" s="382" t="s">
        <v>2382</v>
      </c>
      <c r="K24" s="29"/>
    </row>
    <row r="25" spans="2:11">
      <c r="B25" s="37" t="s">
        <v>34</v>
      </c>
      <c r="C25" s="381" t="s">
        <v>35</v>
      </c>
      <c r="D25" s="381" t="s">
        <v>36</v>
      </c>
      <c r="E25" s="381" t="s">
        <v>1122</v>
      </c>
      <c r="F25" s="380" t="s">
        <v>1435</v>
      </c>
      <c r="G25" s="384" t="s">
        <v>1738</v>
      </c>
      <c r="H25" s="380" t="s">
        <v>2054</v>
      </c>
      <c r="I25" s="381" t="s">
        <v>2683</v>
      </c>
      <c r="J25" s="382" t="s">
        <v>2383</v>
      </c>
      <c r="K25" s="29"/>
    </row>
    <row r="26" spans="2:11" ht="30">
      <c r="B26" s="37" t="s">
        <v>37</v>
      </c>
      <c r="C26" s="381" t="s">
        <v>38</v>
      </c>
      <c r="D26" s="381" t="s">
        <v>39</v>
      </c>
      <c r="E26" s="381" t="s">
        <v>1123</v>
      </c>
      <c r="F26" s="380" t="s">
        <v>1436</v>
      </c>
      <c r="G26" s="380" t="s">
        <v>1739</v>
      </c>
      <c r="H26" s="380" t="s">
        <v>2055</v>
      </c>
      <c r="I26" s="381" t="s">
        <v>2684</v>
      </c>
      <c r="J26" s="382" t="s">
        <v>2384</v>
      </c>
      <c r="K26" s="29"/>
    </row>
    <row r="27" spans="2:11">
      <c r="B27" s="37" t="s">
        <v>40</v>
      </c>
      <c r="C27" s="381" t="s">
        <v>41</v>
      </c>
      <c r="D27" s="381" t="s">
        <v>42</v>
      </c>
      <c r="E27" s="381" t="s">
        <v>1124</v>
      </c>
      <c r="F27" s="380" t="s">
        <v>1437</v>
      </c>
      <c r="G27" s="380" t="s">
        <v>1740</v>
      </c>
      <c r="H27" s="380" t="s">
        <v>2056</v>
      </c>
      <c r="I27" s="381" t="s">
        <v>2685</v>
      </c>
      <c r="J27" s="382" t="s">
        <v>2385</v>
      </c>
      <c r="K27" s="29"/>
    </row>
    <row r="28" spans="2:11">
      <c r="B28" s="364" t="s">
        <v>1095</v>
      </c>
      <c r="C28" s="372" t="s">
        <v>1096</v>
      </c>
      <c r="D28" s="372" t="s">
        <v>1096</v>
      </c>
      <c r="E28" s="381" t="s">
        <v>1125</v>
      </c>
      <c r="F28" s="380" t="s">
        <v>1438</v>
      </c>
      <c r="G28" s="384" t="s">
        <v>1741</v>
      </c>
      <c r="H28" s="380" t="s">
        <v>2057</v>
      </c>
      <c r="I28" s="381" t="s">
        <v>2686</v>
      </c>
      <c r="J28" s="372" t="s">
        <v>2386</v>
      </c>
      <c r="K28" s="29"/>
    </row>
    <row r="29" spans="2:11">
      <c r="B29" s="364" t="s">
        <v>1097</v>
      </c>
      <c r="C29" s="381" t="s">
        <v>1098</v>
      </c>
      <c r="D29" s="381" t="s">
        <v>1099</v>
      </c>
      <c r="E29" s="381" t="s">
        <v>1126</v>
      </c>
      <c r="F29" s="380" t="s">
        <v>1439</v>
      </c>
      <c r="G29" s="381" t="s">
        <v>1098</v>
      </c>
      <c r="H29" s="380" t="s">
        <v>2058</v>
      </c>
      <c r="I29" s="381" t="s">
        <v>2687</v>
      </c>
      <c r="J29" s="381" t="s">
        <v>2387</v>
      </c>
      <c r="K29" s="29"/>
    </row>
    <row r="30" spans="2:11" ht="240">
      <c r="B30" s="364" t="s">
        <v>1100</v>
      </c>
      <c r="C30" s="381" t="s">
        <v>1101</v>
      </c>
      <c r="D30" s="363" t="s">
        <v>1102</v>
      </c>
      <c r="E30" s="367" t="s">
        <v>1127</v>
      </c>
      <c r="F30" s="381" t="s">
        <v>1440</v>
      </c>
      <c r="G30" s="384" t="s">
        <v>1742</v>
      </c>
      <c r="H30" s="380" t="s">
        <v>2059</v>
      </c>
      <c r="I30" s="381" t="s">
        <v>2688</v>
      </c>
      <c r="J30" s="381" t="s">
        <v>2388</v>
      </c>
      <c r="K30" s="29"/>
    </row>
    <row r="31" spans="2:11">
      <c r="B31" s="39" t="s">
        <v>51</v>
      </c>
      <c r="C31" s="382" t="s">
        <v>302</v>
      </c>
      <c r="D31" s="382" t="s">
        <v>303</v>
      </c>
      <c r="E31" s="370" t="s">
        <v>1128</v>
      </c>
      <c r="F31" s="380" t="s">
        <v>1441</v>
      </c>
      <c r="G31" s="380" t="s">
        <v>1743</v>
      </c>
      <c r="H31" s="380" t="s">
        <v>2060</v>
      </c>
      <c r="I31" s="384" t="s">
        <v>2689</v>
      </c>
      <c r="J31" s="382" t="s">
        <v>2389</v>
      </c>
      <c r="K31" s="29"/>
    </row>
    <row r="32" spans="2:11">
      <c r="B32" s="40" t="s">
        <v>52</v>
      </c>
      <c r="C32" s="384" t="s">
        <v>371</v>
      </c>
      <c r="D32" s="384" t="s">
        <v>57</v>
      </c>
      <c r="E32" s="367" t="s">
        <v>1129</v>
      </c>
      <c r="F32" s="380" t="s">
        <v>1442</v>
      </c>
      <c r="G32" s="380" t="s">
        <v>1744</v>
      </c>
      <c r="H32" s="380" t="s">
        <v>2061</v>
      </c>
      <c r="I32" s="381" t="s">
        <v>2690</v>
      </c>
      <c r="J32" s="381" t="s">
        <v>2390</v>
      </c>
      <c r="K32" s="29"/>
    </row>
    <row r="33" spans="2:11">
      <c r="B33" s="40" t="s">
        <v>53</v>
      </c>
      <c r="C33" s="381" t="s">
        <v>46</v>
      </c>
      <c r="D33" s="384" t="s">
        <v>58</v>
      </c>
      <c r="E33" s="367" t="s">
        <v>1130</v>
      </c>
      <c r="F33" s="380" t="s">
        <v>1443</v>
      </c>
      <c r="G33" s="384" t="s">
        <v>1745</v>
      </c>
      <c r="H33" s="380" t="s">
        <v>46</v>
      </c>
      <c r="I33" s="381" t="s">
        <v>2691</v>
      </c>
      <c r="J33" s="381" t="s">
        <v>1130</v>
      </c>
      <c r="K33" s="29"/>
    </row>
    <row r="34" spans="2:11">
      <c r="B34" s="40" t="s">
        <v>54</v>
      </c>
      <c r="C34" s="381" t="s">
        <v>45</v>
      </c>
      <c r="D34" s="384" t="s">
        <v>45</v>
      </c>
      <c r="E34" s="367" t="s">
        <v>1131</v>
      </c>
      <c r="F34" s="380" t="s">
        <v>1444</v>
      </c>
      <c r="G34" s="384" t="s">
        <v>1746</v>
      </c>
      <c r="H34" s="380" t="s">
        <v>45</v>
      </c>
      <c r="I34" s="381" t="s">
        <v>2692</v>
      </c>
      <c r="J34" s="381" t="s">
        <v>2391</v>
      </c>
      <c r="K34" s="29"/>
    </row>
    <row r="35" spans="2:11">
      <c r="B35" s="40" t="s">
        <v>55</v>
      </c>
      <c r="C35" s="381" t="s">
        <v>44</v>
      </c>
      <c r="D35" s="384" t="s">
        <v>59</v>
      </c>
      <c r="E35" s="367" t="s">
        <v>1132</v>
      </c>
      <c r="F35" s="380" t="s">
        <v>1445</v>
      </c>
      <c r="G35" s="384" t="s">
        <v>1747</v>
      </c>
      <c r="H35" s="380" t="s">
        <v>2062</v>
      </c>
      <c r="I35" s="381" t="s">
        <v>2693</v>
      </c>
      <c r="J35" s="381" t="s">
        <v>2392</v>
      </c>
      <c r="K35" s="29"/>
    </row>
    <row r="36" spans="2:11">
      <c r="B36" s="40" t="s">
        <v>56</v>
      </c>
      <c r="C36" s="381" t="s">
        <v>43</v>
      </c>
      <c r="D36" s="384" t="s">
        <v>60</v>
      </c>
      <c r="E36" s="370" t="s">
        <v>1133</v>
      </c>
      <c r="F36" s="380" t="s">
        <v>1446</v>
      </c>
      <c r="G36" s="384" t="s">
        <v>1748</v>
      </c>
      <c r="H36" s="380" t="s">
        <v>2063</v>
      </c>
      <c r="I36" s="381" t="s">
        <v>2694</v>
      </c>
      <c r="J36" s="382" t="s">
        <v>2393</v>
      </c>
      <c r="K36" s="29"/>
    </row>
    <row r="37" spans="2:11">
      <c r="B37" s="38" t="s">
        <v>400</v>
      </c>
      <c r="C37" s="384" t="s">
        <v>304</v>
      </c>
      <c r="D37" s="384" t="s">
        <v>594</v>
      </c>
      <c r="E37" s="370" t="s">
        <v>1134</v>
      </c>
      <c r="F37" s="379" t="s">
        <v>1447</v>
      </c>
      <c r="G37" s="384" t="s">
        <v>1749</v>
      </c>
      <c r="H37" s="379" t="s">
        <v>2064</v>
      </c>
      <c r="I37" s="388" t="s">
        <v>2695</v>
      </c>
      <c r="J37" s="384" t="s">
        <v>2394</v>
      </c>
      <c r="K37" s="29"/>
    </row>
    <row r="38" spans="2:11" ht="135">
      <c r="B38" s="356" t="s">
        <v>401</v>
      </c>
      <c r="C38" s="384" t="s">
        <v>261</v>
      </c>
      <c r="D38" s="384" t="s">
        <v>595</v>
      </c>
      <c r="E38" s="370" t="s">
        <v>1135</v>
      </c>
      <c r="F38" s="389" t="s">
        <v>1448</v>
      </c>
      <c r="G38" s="396" t="s">
        <v>1750</v>
      </c>
      <c r="H38" s="390" t="s">
        <v>2065</v>
      </c>
      <c r="I38" s="384" t="s">
        <v>2696</v>
      </c>
      <c r="J38" s="384" t="s">
        <v>2395</v>
      </c>
      <c r="K38" s="29"/>
    </row>
    <row r="39" spans="2:11">
      <c r="B39" s="356" t="s">
        <v>402</v>
      </c>
      <c r="C39" s="384" t="s">
        <v>173</v>
      </c>
      <c r="D39" s="384" t="s">
        <v>596</v>
      </c>
      <c r="E39" s="370" t="s">
        <v>1136</v>
      </c>
      <c r="F39" s="379" t="s">
        <v>173</v>
      </c>
      <c r="G39" s="380" t="s">
        <v>1751</v>
      </c>
      <c r="H39" s="379" t="s">
        <v>2066</v>
      </c>
      <c r="I39" s="388" t="s">
        <v>2697</v>
      </c>
      <c r="J39" s="384" t="s">
        <v>173</v>
      </c>
      <c r="K39" s="29"/>
    </row>
    <row r="40" spans="2:11" ht="75">
      <c r="B40" s="356" t="s">
        <v>403</v>
      </c>
      <c r="C40" s="384" t="s">
        <v>306</v>
      </c>
      <c r="D40" s="384" t="s">
        <v>824</v>
      </c>
      <c r="E40" s="370" t="s">
        <v>1137</v>
      </c>
      <c r="F40" s="389" t="s">
        <v>1449</v>
      </c>
      <c r="G40" s="380" t="s">
        <v>1752</v>
      </c>
      <c r="H40" s="390" t="s">
        <v>2067</v>
      </c>
      <c r="I40" s="389" t="s">
        <v>2698</v>
      </c>
      <c r="J40" s="384" t="s">
        <v>2396</v>
      </c>
      <c r="K40" s="29"/>
    </row>
    <row r="41" spans="2:11">
      <c r="B41" s="356" t="s">
        <v>404</v>
      </c>
      <c r="C41" s="384" t="s">
        <v>167</v>
      </c>
      <c r="D41" s="384" t="s">
        <v>825</v>
      </c>
      <c r="E41" s="370" t="s">
        <v>1138</v>
      </c>
      <c r="F41" s="379" t="s">
        <v>1450</v>
      </c>
      <c r="G41" s="380" t="s">
        <v>1753</v>
      </c>
      <c r="H41" s="379" t="s">
        <v>2068</v>
      </c>
      <c r="I41" s="388" t="s">
        <v>2699</v>
      </c>
      <c r="J41" s="384" t="s">
        <v>2397</v>
      </c>
      <c r="K41" s="29"/>
    </row>
    <row r="42" spans="2:11">
      <c r="B42" s="356" t="s">
        <v>405</v>
      </c>
      <c r="C42" s="384" t="s">
        <v>294</v>
      </c>
      <c r="D42" s="384" t="s">
        <v>826</v>
      </c>
      <c r="E42" s="370" t="s">
        <v>1139</v>
      </c>
      <c r="F42" s="379" t="s">
        <v>1451</v>
      </c>
      <c r="G42" s="380" t="s">
        <v>1754</v>
      </c>
      <c r="H42" s="379" t="s">
        <v>2069</v>
      </c>
      <c r="I42" s="379" t="s">
        <v>2700</v>
      </c>
      <c r="J42" s="384" t="s">
        <v>2398</v>
      </c>
      <c r="K42" s="29"/>
    </row>
    <row r="43" spans="2:11" ht="120">
      <c r="B43" s="356" t="s">
        <v>406</v>
      </c>
      <c r="C43" s="384" t="s">
        <v>292</v>
      </c>
      <c r="D43" s="384" t="s">
        <v>827</v>
      </c>
      <c r="E43" s="370" t="s">
        <v>1140</v>
      </c>
      <c r="F43" s="389" t="s">
        <v>1452</v>
      </c>
      <c r="G43" s="380" t="s">
        <v>1755</v>
      </c>
      <c r="H43" s="384" t="s">
        <v>2070</v>
      </c>
      <c r="I43" s="384" t="s">
        <v>2701</v>
      </c>
      <c r="J43" s="384" t="s">
        <v>2399</v>
      </c>
      <c r="K43" s="29"/>
    </row>
    <row r="44" spans="2:11">
      <c r="B44" s="356" t="s">
        <v>407</v>
      </c>
      <c r="C44" s="384" t="s">
        <v>229</v>
      </c>
      <c r="D44" s="384" t="s">
        <v>828</v>
      </c>
      <c r="E44" s="370" t="s">
        <v>1141</v>
      </c>
      <c r="F44" s="379" t="s">
        <v>1453</v>
      </c>
      <c r="G44" s="380" t="s">
        <v>1756</v>
      </c>
      <c r="H44" s="379" t="s">
        <v>2071</v>
      </c>
      <c r="I44" s="388" t="s">
        <v>2702</v>
      </c>
      <c r="J44" s="384" t="s">
        <v>2400</v>
      </c>
      <c r="K44" s="29"/>
    </row>
    <row r="45" spans="2:11" ht="45">
      <c r="B45" s="356" t="s">
        <v>411</v>
      </c>
      <c r="C45" s="384" t="s">
        <v>1087</v>
      </c>
      <c r="D45" s="384" t="s">
        <v>1089</v>
      </c>
      <c r="E45" s="370" t="s">
        <v>1142</v>
      </c>
      <c r="F45" s="389" t="s">
        <v>1454</v>
      </c>
      <c r="G45" s="380" t="s">
        <v>1757</v>
      </c>
      <c r="H45" s="389" t="s">
        <v>2072</v>
      </c>
      <c r="I45" s="390" t="s">
        <v>2703</v>
      </c>
      <c r="J45" s="384" t="s">
        <v>2401</v>
      </c>
      <c r="K45" s="29"/>
    </row>
    <row r="46" spans="2:11">
      <c r="B46" s="356" t="s">
        <v>408</v>
      </c>
      <c r="C46" s="384" t="s">
        <v>230</v>
      </c>
      <c r="D46" s="380" t="s">
        <v>829</v>
      </c>
      <c r="E46" s="370" t="s">
        <v>1143</v>
      </c>
      <c r="F46" s="379" t="s">
        <v>1455</v>
      </c>
      <c r="G46" s="380" t="s">
        <v>1758</v>
      </c>
      <c r="H46" s="379" t="s">
        <v>2073</v>
      </c>
      <c r="I46" s="388" t="s">
        <v>2704</v>
      </c>
      <c r="J46" s="384" t="s">
        <v>2402</v>
      </c>
      <c r="K46" s="29"/>
    </row>
    <row r="47" spans="2:11">
      <c r="B47" s="356" t="s">
        <v>409</v>
      </c>
      <c r="C47" s="384" t="s">
        <v>231</v>
      </c>
      <c r="D47" s="380" t="s">
        <v>830</v>
      </c>
      <c r="E47" s="370" t="s">
        <v>1144</v>
      </c>
      <c r="F47" s="379" t="s">
        <v>1456</v>
      </c>
      <c r="G47" s="380" t="s">
        <v>1759</v>
      </c>
      <c r="H47" s="379" t="s">
        <v>2074</v>
      </c>
      <c r="I47" s="388" t="s">
        <v>2705</v>
      </c>
      <c r="J47" s="384" t="s">
        <v>2403</v>
      </c>
      <c r="K47" s="29"/>
    </row>
    <row r="48" spans="2:11">
      <c r="B48" s="356" t="s">
        <v>410</v>
      </c>
      <c r="C48" s="384" t="s">
        <v>471</v>
      </c>
      <c r="D48" s="384" t="s">
        <v>831</v>
      </c>
      <c r="E48" s="370" t="s">
        <v>1145</v>
      </c>
      <c r="F48" s="379" t="s">
        <v>1457</v>
      </c>
      <c r="G48" s="380" t="s">
        <v>1760</v>
      </c>
      <c r="H48" s="379" t="s">
        <v>2075</v>
      </c>
      <c r="I48" s="388" t="s">
        <v>2706</v>
      </c>
      <c r="J48" s="384" t="s">
        <v>2404</v>
      </c>
      <c r="K48" s="29"/>
    </row>
    <row r="49" spans="2:11" ht="30">
      <c r="B49" s="356" t="s">
        <v>412</v>
      </c>
      <c r="C49" s="384" t="s">
        <v>1088</v>
      </c>
      <c r="D49" s="384" t="s">
        <v>1090</v>
      </c>
      <c r="E49" s="370" t="s">
        <v>1146</v>
      </c>
      <c r="F49" s="389" t="s">
        <v>1458</v>
      </c>
      <c r="G49" s="380" t="s">
        <v>1761</v>
      </c>
      <c r="H49" s="389" t="s">
        <v>2076</v>
      </c>
      <c r="I49" s="378" t="s">
        <v>2707</v>
      </c>
      <c r="J49" s="384" t="s">
        <v>2405</v>
      </c>
      <c r="K49" s="29"/>
    </row>
    <row r="50" spans="2:11">
      <c r="B50" s="356" t="s">
        <v>413</v>
      </c>
      <c r="C50" s="384" t="s">
        <v>174</v>
      </c>
      <c r="D50" s="384" t="s">
        <v>833</v>
      </c>
      <c r="E50" s="370" t="s">
        <v>1147</v>
      </c>
      <c r="F50" s="379" t="s">
        <v>1459</v>
      </c>
      <c r="G50" s="380" t="s">
        <v>1762</v>
      </c>
      <c r="H50" s="379" t="s">
        <v>2077</v>
      </c>
      <c r="I50" s="379" t="s">
        <v>2708</v>
      </c>
      <c r="J50" s="384" t="s">
        <v>2406</v>
      </c>
      <c r="K50" s="29"/>
    </row>
    <row r="51" spans="2:11">
      <c r="B51" s="356" t="s">
        <v>414</v>
      </c>
      <c r="C51" s="384" t="s">
        <v>175</v>
      </c>
      <c r="D51" s="384" t="s">
        <v>832</v>
      </c>
      <c r="E51" s="370" t="s">
        <v>1148</v>
      </c>
      <c r="F51" s="379" t="s">
        <v>1460</v>
      </c>
      <c r="G51" s="380" t="s">
        <v>1763</v>
      </c>
      <c r="H51" s="379" t="s">
        <v>2078</v>
      </c>
      <c r="I51" s="379" t="s">
        <v>2709</v>
      </c>
      <c r="J51" s="384" t="s">
        <v>2407</v>
      </c>
      <c r="K51" s="29"/>
    </row>
    <row r="52" spans="2:11">
      <c r="B52" s="356" t="s">
        <v>415</v>
      </c>
      <c r="C52" s="384" t="s">
        <v>366</v>
      </c>
      <c r="D52" s="384" t="s">
        <v>834</v>
      </c>
      <c r="E52" s="370" t="s">
        <v>1149</v>
      </c>
      <c r="F52" s="379" t="s">
        <v>1461</v>
      </c>
      <c r="G52" s="380" t="s">
        <v>1764</v>
      </c>
      <c r="H52" s="379" t="s">
        <v>2079</v>
      </c>
      <c r="I52" s="379" t="s">
        <v>2710</v>
      </c>
      <c r="J52" s="384" t="s">
        <v>2408</v>
      </c>
      <c r="K52" s="29"/>
    </row>
    <row r="53" spans="2:11" ht="90">
      <c r="B53" s="356" t="s">
        <v>416</v>
      </c>
      <c r="C53" s="384" t="s">
        <v>262</v>
      </c>
      <c r="D53" s="384" t="s">
        <v>835</v>
      </c>
      <c r="E53" s="370" t="s">
        <v>1150</v>
      </c>
      <c r="F53" s="389" t="s">
        <v>1462</v>
      </c>
      <c r="G53" s="380" t="s">
        <v>1765</v>
      </c>
      <c r="H53" s="389" t="s">
        <v>2080</v>
      </c>
      <c r="I53" s="389" t="s">
        <v>2711</v>
      </c>
      <c r="J53" s="384" t="s">
        <v>2409</v>
      </c>
      <c r="K53" s="29"/>
    </row>
    <row r="54" spans="2:11">
      <c r="B54" s="356" t="s">
        <v>417</v>
      </c>
      <c r="C54" s="384" t="s">
        <v>169</v>
      </c>
      <c r="D54" s="384" t="s">
        <v>836</v>
      </c>
      <c r="E54" s="370" t="s">
        <v>1151</v>
      </c>
      <c r="F54" s="379" t="s">
        <v>1463</v>
      </c>
      <c r="G54" s="380" t="s">
        <v>1766</v>
      </c>
      <c r="H54" s="379" t="s">
        <v>2081</v>
      </c>
      <c r="I54" s="388" t="s">
        <v>2712</v>
      </c>
      <c r="J54" s="384" t="s">
        <v>2410</v>
      </c>
      <c r="K54" s="29"/>
    </row>
    <row r="55" spans="2:11">
      <c r="B55" s="356" t="s">
        <v>1106</v>
      </c>
      <c r="C55" s="384" t="s">
        <v>1107</v>
      </c>
      <c r="D55" s="384" t="s">
        <v>1108</v>
      </c>
      <c r="E55" s="370" t="s">
        <v>1152</v>
      </c>
      <c r="F55" s="379" t="s">
        <v>1464</v>
      </c>
      <c r="G55" s="380" t="s">
        <v>1767</v>
      </c>
      <c r="H55" s="379" t="s">
        <v>2082</v>
      </c>
      <c r="I55" s="388" t="s">
        <v>2713</v>
      </c>
      <c r="J55" s="384" t="s">
        <v>2411</v>
      </c>
      <c r="K55" s="29"/>
    </row>
    <row r="56" spans="2:11">
      <c r="B56" s="356" t="s">
        <v>450</v>
      </c>
      <c r="C56" s="384" t="s">
        <v>451</v>
      </c>
      <c r="D56" s="384" t="s">
        <v>838</v>
      </c>
      <c r="E56" s="370" t="s">
        <v>1153</v>
      </c>
      <c r="F56" s="379" t="s">
        <v>1465</v>
      </c>
      <c r="G56" s="380" t="s">
        <v>1768</v>
      </c>
      <c r="H56" s="379" t="s">
        <v>2083</v>
      </c>
      <c r="I56" s="388" t="s">
        <v>2714</v>
      </c>
      <c r="J56" s="384" t="s">
        <v>2412</v>
      </c>
      <c r="K56" s="29"/>
    </row>
    <row r="57" spans="2:11">
      <c r="B57" s="356" t="s">
        <v>418</v>
      </c>
      <c r="C57" s="384" t="s">
        <v>319</v>
      </c>
      <c r="D57" s="384" t="s">
        <v>839</v>
      </c>
      <c r="E57" s="370" t="s">
        <v>1154</v>
      </c>
      <c r="F57" s="379" t="s">
        <v>1466</v>
      </c>
      <c r="G57" s="380" t="s">
        <v>1769</v>
      </c>
      <c r="H57" s="379" t="s">
        <v>2084</v>
      </c>
      <c r="I57" s="379" t="s">
        <v>2715</v>
      </c>
      <c r="J57" s="384" t="s">
        <v>2413</v>
      </c>
      <c r="K57" s="29"/>
    </row>
    <row r="58" spans="2:11">
      <c r="B58" s="356" t="s">
        <v>419</v>
      </c>
      <c r="C58" s="384" t="s">
        <v>334</v>
      </c>
      <c r="D58" s="384" t="s">
        <v>840</v>
      </c>
      <c r="E58" s="370" t="s">
        <v>1155</v>
      </c>
      <c r="F58" s="379" t="s">
        <v>1467</v>
      </c>
      <c r="G58" s="384" t="s">
        <v>1770</v>
      </c>
      <c r="H58" s="379" t="s">
        <v>2085</v>
      </c>
      <c r="I58" s="388" t="s">
        <v>2716</v>
      </c>
      <c r="J58" s="384" t="s">
        <v>2414</v>
      </c>
      <c r="K58" s="29"/>
    </row>
    <row r="59" spans="2:11" ht="30">
      <c r="B59" s="356" t="s">
        <v>420</v>
      </c>
      <c r="C59" s="384" t="s">
        <v>313</v>
      </c>
      <c r="D59" s="384" t="s">
        <v>846</v>
      </c>
      <c r="E59" s="370" t="s">
        <v>1156</v>
      </c>
      <c r="F59" s="389" t="s">
        <v>1468</v>
      </c>
      <c r="G59" s="380" t="s">
        <v>1771</v>
      </c>
      <c r="H59" s="389" t="s">
        <v>2086</v>
      </c>
      <c r="I59" s="389" t="s">
        <v>2717</v>
      </c>
      <c r="J59" s="384" t="s">
        <v>2415</v>
      </c>
      <c r="K59" s="29"/>
    </row>
    <row r="60" spans="2:11">
      <c r="B60" s="356" t="s">
        <v>444</v>
      </c>
      <c r="C60" s="384" t="s">
        <v>278</v>
      </c>
      <c r="D60" s="384" t="s">
        <v>847</v>
      </c>
      <c r="E60" s="370" t="s">
        <v>1157</v>
      </c>
      <c r="F60" s="379" t="s">
        <v>1469</v>
      </c>
      <c r="G60" s="380" t="s">
        <v>1772</v>
      </c>
      <c r="H60" s="379" t="s">
        <v>2087</v>
      </c>
      <c r="I60" s="388" t="s">
        <v>2718</v>
      </c>
      <c r="J60" s="384" t="s">
        <v>2416</v>
      </c>
      <c r="K60" s="29"/>
    </row>
    <row r="61" spans="2:11" ht="60">
      <c r="B61" s="356" t="s">
        <v>445</v>
      </c>
      <c r="C61" s="384" t="s">
        <v>266</v>
      </c>
      <c r="D61" s="384" t="s">
        <v>869</v>
      </c>
      <c r="E61" s="370" t="s">
        <v>1158</v>
      </c>
      <c r="F61" s="389" t="s">
        <v>1470</v>
      </c>
      <c r="G61" s="380" t="s">
        <v>1773</v>
      </c>
      <c r="H61" s="389" t="s">
        <v>2088</v>
      </c>
      <c r="I61" s="389" t="s">
        <v>2719</v>
      </c>
      <c r="J61" s="384" t="s">
        <v>2417</v>
      </c>
      <c r="K61" s="29"/>
    </row>
    <row r="62" spans="2:11" ht="30">
      <c r="B62" s="356" t="s">
        <v>446</v>
      </c>
      <c r="C62" s="384" t="s">
        <v>282</v>
      </c>
      <c r="D62" s="384" t="s">
        <v>854</v>
      </c>
      <c r="E62" s="370" t="s">
        <v>1159</v>
      </c>
      <c r="F62" s="369" t="s">
        <v>1471</v>
      </c>
      <c r="G62" s="380" t="s">
        <v>1774</v>
      </c>
      <c r="H62" s="379" t="s">
        <v>2089</v>
      </c>
      <c r="I62" s="379" t="s">
        <v>2720</v>
      </c>
      <c r="J62" s="384" t="s">
        <v>2418</v>
      </c>
      <c r="K62" s="29"/>
    </row>
    <row r="63" spans="2:11">
      <c r="B63" s="356" t="s">
        <v>472</v>
      </c>
      <c r="C63" s="384" t="s">
        <v>447</v>
      </c>
      <c r="D63" s="384" t="s">
        <v>848</v>
      </c>
      <c r="E63" s="370" t="s">
        <v>1160</v>
      </c>
      <c r="F63" s="379" t="s">
        <v>1472</v>
      </c>
      <c r="G63" s="384" t="s">
        <v>1775</v>
      </c>
      <c r="H63" s="379" t="s">
        <v>2090</v>
      </c>
      <c r="I63" s="388" t="s">
        <v>2721</v>
      </c>
      <c r="J63" s="384" t="s">
        <v>2419</v>
      </c>
      <c r="K63" s="29"/>
    </row>
    <row r="64" spans="2:11">
      <c r="B64" s="356" t="s">
        <v>473</v>
      </c>
      <c r="C64" s="384" t="s">
        <v>106</v>
      </c>
      <c r="D64" s="384" t="s">
        <v>849</v>
      </c>
      <c r="E64" s="370" t="s">
        <v>1161</v>
      </c>
      <c r="F64" s="379" t="s">
        <v>1473</v>
      </c>
      <c r="G64" s="384" t="s">
        <v>1776</v>
      </c>
      <c r="H64" s="379" t="s">
        <v>2091</v>
      </c>
      <c r="I64" s="379" t="s">
        <v>2722</v>
      </c>
      <c r="J64" s="384" t="s">
        <v>2420</v>
      </c>
      <c r="K64" s="29"/>
    </row>
    <row r="65" spans="2:11">
      <c r="B65" s="356" t="s">
        <v>474</v>
      </c>
      <c r="C65" s="384" t="s">
        <v>185</v>
      </c>
      <c r="D65" s="384" t="s">
        <v>850</v>
      </c>
      <c r="E65" s="370" t="s">
        <v>1162</v>
      </c>
      <c r="F65" s="379" t="s">
        <v>1474</v>
      </c>
      <c r="G65" s="384" t="s">
        <v>1777</v>
      </c>
      <c r="H65" s="379" t="s">
        <v>185</v>
      </c>
      <c r="I65" s="388" t="s">
        <v>2723</v>
      </c>
      <c r="J65" s="384" t="s">
        <v>2421</v>
      </c>
      <c r="K65" s="29"/>
    </row>
    <row r="66" spans="2:11">
      <c r="B66" s="356" t="s">
        <v>475</v>
      </c>
      <c r="C66" s="384" t="s">
        <v>187</v>
      </c>
      <c r="D66" s="384" t="s">
        <v>851</v>
      </c>
      <c r="E66" s="370" t="s">
        <v>1163</v>
      </c>
      <c r="F66" s="379" t="s">
        <v>1475</v>
      </c>
      <c r="G66" s="380" t="s">
        <v>1778</v>
      </c>
      <c r="H66" s="379" t="s">
        <v>2092</v>
      </c>
      <c r="I66" s="388" t="s">
        <v>2724</v>
      </c>
      <c r="J66" s="384" t="s">
        <v>2422</v>
      </c>
      <c r="K66" s="29"/>
    </row>
    <row r="67" spans="2:11">
      <c r="B67" s="356" t="s">
        <v>448</v>
      </c>
      <c r="C67" s="384" t="s">
        <v>228</v>
      </c>
      <c r="D67" s="384" t="s">
        <v>852</v>
      </c>
      <c r="E67" s="370" t="s">
        <v>1164</v>
      </c>
      <c r="F67" s="379" t="s">
        <v>1476</v>
      </c>
      <c r="G67" s="380" t="s">
        <v>1779</v>
      </c>
      <c r="H67" s="379" t="s">
        <v>2093</v>
      </c>
      <c r="I67" s="379" t="s">
        <v>2725</v>
      </c>
      <c r="J67" s="384" t="s">
        <v>2423</v>
      </c>
      <c r="K67" s="29"/>
    </row>
    <row r="68" spans="2:11">
      <c r="B68" s="356" t="s">
        <v>476</v>
      </c>
      <c r="C68" s="384" t="s">
        <v>279</v>
      </c>
      <c r="D68" s="384" t="s">
        <v>853</v>
      </c>
      <c r="E68" s="370" t="s">
        <v>1165</v>
      </c>
      <c r="F68" s="379" t="s">
        <v>1477</v>
      </c>
      <c r="G68" s="380" t="s">
        <v>1780</v>
      </c>
      <c r="H68" s="379" t="s">
        <v>2094</v>
      </c>
      <c r="I68" s="379" t="s">
        <v>2726</v>
      </c>
      <c r="J68" s="384" t="s">
        <v>2424</v>
      </c>
      <c r="K68" s="29"/>
    </row>
    <row r="69" spans="2:11" ht="120">
      <c r="B69" s="356" t="s">
        <v>477</v>
      </c>
      <c r="C69" s="384" t="s">
        <v>870</v>
      </c>
      <c r="D69" s="384" t="s">
        <v>871</v>
      </c>
      <c r="E69" s="370" t="s">
        <v>1166</v>
      </c>
      <c r="F69" s="380" t="s">
        <v>1478</v>
      </c>
      <c r="G69" s="380" t="s">
        <v>1781</v>
      </c>
      <c r="H69" s="390" t="s">
        <v>2095</v>
      </c>
      <c r="I69" s="380" t="s">
        <v>2727</v>
      </c>
      <c r="J69" s="384" t="s">
        <v>2425</v>
      </c>
      <c r="K69" s="29"/>
    </row>
    <row r="70" spans="2:11">
      <c r="B70" s="356" t="s">
        <v>478</v>
      </c>
      <c r="C70" s="384" t="s">
        <v>87</v>
      </c>
      <c r="D70" s="384" t="s">
        <v>855</v>
      </c>
      <c r="E70" s="370" t="s">
        <v>1167</v>
      </c>
      <c r="F70" s="379" t="s">
        <v>1479</v>
      </c>
      <c r="G70" s="380" t="s">
        <v>1782</v>
      </c>
      <c r="H70" s="379" t="s">
        <v>2096</v>
      </c>
      <c r="I70" s="388" t="s">
        <v>2728</v>
      </c>
      <c r="J70" s="384" t="s">
        <v>87</v>
      </c>
      <c r="K70" s="29"/>
    </row>
    <row r="71" spans="2:11">
      <c r="B71" s="356" t="s">
        <v>479</v>
      </c>
      <c r="C71" s="384" t="s">
        <v>314</v>
      </c>
      <c r="D71" s="384" t="s">
        <v>878</v>
      </c>
      <c r="E71" s="370" t="s">
        <v>1168</v>
      </c>
      <c r="F71" s="379" t="s">
        <v>1480</v>
      </c>
      <c r="G71" s="380" t="s">
        <v>1783</v>
      </c>
      <c r="H71" s="379" t="s">
        <v>2097</v>
      </c>
      <c r="I71" s="379" t="s">
        <v>2729</v>
      </c>
      <c r="J71" s="384" t="s">
        <v>2426</v>
      </c>
      <c r="K71" s="29"/>
    </row>
    <row r="72" spans="2:11">
      <c r="B72" s="356" t="s">
        <v>480</v>
      </c>
      <c r="C72" s="384" t="s">
        <v>372</v>
      </c>
      <c r="D72" s="384" t="s">
        <v>872</v>
      </c>
      <c r="E72" s="370" t="s">
        <v>1169</v>
      </c>
      <c r="F72" s="379" t="s">
        <v>1481</v>
      </c>
      <c r="G72" s="380" t="s">
        <v>1784</v>
      </c>
      <c r="H72" s="379" t="s">
        <v>2098</v>
      </c>
      <c r="I72" s="379" t="s">
        <v>2730</v>
      </c>
      <c r="J72" s="384" t="s">
        <v>2427</v>
      </c>
      <c r="K72" s="29"/>
    </row>
    <row r="73" spans="2:11">
      <c r="B73" s="356" t="s">
        <v>481</v>
      </c>
      <c r="C73" s="384" t="s">
        <v>85</v>
      </c>
      <c r="D73" s="384" t="s">
        <v>873</v>
      </c>
      <c r="E73" s="370" t="s">
        <v>1170</v>
      </c>
      <c r="F73" s="379" t="s">
        <v>1482</v>
      </c>
      <c r="G73" s="380" t="s">
        <v>1785</v>
      </c>
      <c r="H73" s="379" t="s">
        <v>2099</v>
      </c>
      <c r="I73" s="388" t="s">
        <v>2731</v>
      </c>
      <c r="J73" s="384" t="s">
        <v>2428</v>
      </c>
      <c r="K73" s="29"/>
    </row>
    <row r="74" spans="2:11">
      <c r="B74" s="356" t="s">
        <v>421</v>
      </c>
      <c r="C74" s="384" t="s">
        <v>179</v>
      </c>
      <c r="D74" s="380" t="s">
        <v>841</v>
      </c>
      <c r="E74" s="370" t="s">
        <v>1171</v>
      </c>
      <c r="F74" s="379" t="s">
        <v>1483</v>
      </c>
      <c r="G74" s="380" t="s">
        <v>1786</v>
      </c>
      <c r="H74" s="379" t="s">
        <v>2100</v>
      </c>
      <c r="I74" s="388" t="s">
        <v>2732</v>
      </c>
      <c r="J74" s="384" t="s">
        <v>2429</v>
      </c>
      <c r="K74" s="29"/>
    </row>
    <row r="75" spans="2:11" ht="60">
      <c r="B75" s="356" t="s">
        <v>422</v>
      </c>
      <c r="C75" s="384" t="s">
        <v>267</v>
      </c>
      <c r="D75" s="384" t="s">
        <v>874</v>
      </c>
      <c r="E75" s="370" t="s">
        <v>1172</v>
      </c>
      <c r="F75" s="389" t="s">
        <v>1484</v>
      </c>
      <c r="G75" s="380" t="s">
        <v>1787</v>
      </c>
      <c r="H75" s="389" t="s">
        <v>2101</v>
      </c>
      <c r="I75" s="380" t="s">
        <v>2733</v>
      </c>
      <c r="J75" s="384" t="s">
        <v>2430</v>
      </c>
      <c r="K75" s="29"/>
    </row>
    <row r="76" spans="2:11">
      <c r="B76" s="356" t="s">
        <v>452</v>
      </c>
      <c r="C76" s="384" t="s">
        <v>268</v>
      </c>
      <c r="D76" s="384" t="s">
        <v>875</v>
      </c>
      <c r="E76" s="370" t="s">
        <v>1173</v>
      </c>
      <c r="F76" s="379" t="s">
        <v>1485</v>
      </c>
      <c r="G76" s="380" t="s">
        <v>1788</v>
      </c>
      <c r="H76" s="379" t="s">
        <v>2102</v>
      </c>
      <c r="I76" s="379" t="s">
        <v>2734</v>
      </c>
      <c r="J76" s="384" t="s">
        <v>2431</v>
      </c>
      <c r="K76" s="29"/>
    </row>
    <row r="77" spans="2:11" ht="30">
      <c r="B77" s="356" t="s">
        <v>453</v>
      </c>
      <c r="C77" s="384" t="s">
        <v>293</v>
      </c>
      <c r="D77" s="384" t="s">
        <v>876</v>
      </c>
      <c r="E77" s="370" t="s">
        <v>1174</v>
      </c>
      <c r="F77" s="389" t="s">
        <v>1486</v>
      </c>
      <c r="G77" s="380" t="s">
        <v>1789</v>
      </c>
      <c r="H77" s="389" t="s">
        <v>2103</v>
      </c>
      <c r="I77" s="389" t="s">
        <v>2735</v>
      </c>
      <c r="J77" s="384" t="s">
        <v>2432</v>
      </c>
      <c r="K77" s="29"/>
    </row>
    <row r="78" spans="2:11">
      <c r="B78" s="356" t="s">
        <v>454</v>
      </c>
      <c r="C78" s="384" t="s">
        <v>449</v>
      </c>
      <c r="D78" s="384" t="s">
        <v>449</v>
      </c>
      <c r="E78" s="370" t="s">
        <v>1175</v>
      </c>
      <c r="F78" s="379" t="s">
        <v>449</v>
      </c>
      <c r="G78" s="380" t="s">
        <v>1790</v>
      </c>
      <c r="H78" s="379" t="s">
        <v>2104</v>
      </c>
      <c r="I78" s="388" t="s">
        <v>2736</v>
      </c>
      <c r="J78" s="384" t="s">
        <v>449</v>
      </c>
      <c r="K78" s="29"/>
    </row>
    <row r="79" spans="2:11">
      <c r="B79" s="356" t="s">
        <v>455</v>
      </c>
      <c r="C79" s="384" t="s">
        <v>124</v>
      </c>
      <c r="D79" s="384" t="s">
        <v>856</v>
      </c>
      <c r="E79" s="370" t="s">
        <v>1176</v>
      </c>
      <c r="F79" s="379" t="s">
        <v>1487</v>
      </c>
      <c r="G79" s="380" t="s">
        <v>1791</v>
      </c>
      <c r="H79" s="379" t="s">
        <v>2105</v>
      </c>
      <c r="I79" s="388" t="s">
        <v>2737</v>
      </c>
      <c r="J79" s="384" t="s">
        <v>2433</v>
      </c>
      <c r="K79" s="29"/>
    </row>
    <row r="80" spans="2:11">
      <c r="B80" s="356" t="s">
        <v>456</v>
      </c>
      <c r="C80" s="384" t="s">
        <v>149</v>
      </c>
      <c r="D80" s="384" t="s">
        <v>576</v>
      </c>
      <c r="E80" s="370" t="s">
        <v>1177</v>
      </c>
      <c r="F80" s="379" t="s">
        <v>1488</v>
      </c>
      <c r="G80" s="380" t="s">
        <v>1792</v>
      </c>
      <c r="H80" s="379" t="s">
        <v>2106</v>
      </c>
      <c r="I80" s="388" t="s">
        <v>2738</v>
      </c>
      <c r="J80" s="384" t="s">
        <v>2434</v>
      </c>
      <c r="K80" s="29"/>
    </row>
    <row r="81" spans="2:11">
      <c r="B81" s="356" t="s">
        <v>463</v>
      </c>
      <c r="C81" s="384" t="s">
        <v>315</v>
      </c>
      <c r="D81" s="384" t="s">
        <v>858</v>
      </c>
      <c r="E81" s="370" t="s">
        <v>1178</v>
      </c>
      <c r="F81" s="379" t="s">
        <v>1489</v>
      </c>
      <c r="G81" s="380" t="s">
        <v>1793</v>
      </c>
      <c r="H81" s="379" t="s">
        <v>2107</v>
      </c>
      <c r="I81" s="388" t="s">
        <v>2739</v>
      </c>
      <c r="J81" s="384" t="s">
        <v>2435</v>
      </c>
      <c r="K81" s="29"/>
    </row>
    <row r="82" spans="2:11">
      <c r="B82" s="356" t="s">
        <v>466</v>
      </c>
      <c r="C82" s="384" t="s">
        <v>857</v>
      </c>
      <c r="D82" s="384" t="s">
        <v>859</v>
      </c>
      <c r="E82" s="370" t="s">
        <v>1179</v>
      </c>
      <c r="F82" s="379" t="s">
        <v>1490</v>
      </c>
      <c r="G82" s="380" t="s">
        <v>1794</v>
      </c>
      <c r="H82" s="379" t="s">
        <v>2108</v>
      </c>
      <c r="I82" s="388" t="s">
        <v>2740</v>
      </c>
      <c r="J82" s="384" t="s">
        <v>2436</v>
      </c>
      <c r="K82" s="29"/>
    </row>
    <row r="83" spans="2:11">
      <c r="B83" s="356" t="s">
        <v>464</v>
      </c>
      <c r="C83" s="384" t="s">
        <v>316</v>
      </c>
      <c r="D83" s="384" t="s">
        <v>860</v>
      </c>
      <c r="E83" s="370" t="s">
        <v>1180</v>
      </c>
      <c r="F83" s="379" t="s">
        <v>1491</v>
      </c>
      <c r="G83" s="380" t="s">
        <v>1795</v>
      </c>
      <c r="H83" s="379" t="s">
        <v>2109</v>
      </c>
      <c r="I83" s="388" t="s">
        <v>2741</v>
      </c>
      <c r="J83" s="384" t="s">
        <v>2437</v>
      </c>
      <c r="K83" s="29"/>
    </row>
    <row r="84" spans="2:11" ht="30">
      <c r="B84" s="356" t="s">
        <v>467</v>
      </c>
      <c r="C84" s="384" t="s">
        <v>317</v>
      </c>
      <c r="D84" s="384" t="s">
        <v>861</v>
      </c>
      <c r="E84" s="370" t="s">
        <v>1181</v>
      </c>
      <c r="F84" s="379" t="s">
        <v>1492</v>
      </c>
      <c r="G84" s="380" t="s">
        <v>1796</v>
      </c>
      <c r="H84" s="379" t="s">
        <v>2110</v>
      </c>
      <c r="I84" s="379" t="s">
        <v>2742</v>
      </c>
      <c r="J84" s="384" t="s">
        <v>2438</v>
      </c>
      <c r="K84" s="29"/>
    </row>
    <row r="85" spans="2:11">
      <c r="B85" s="356" t="s">
        <v>465</v>
      </c>
      <c r="C85" s="384" t="s">
        <v>270</v>
      </c>
      <c r="D85" s="384" t="s">
        <v>862</v>
      </c>
      <c r="E85" s="370" t="s">
        <v>1182</v>
      </c>
      <c r="F85" s="379" t="s">
        <v>1493</v>
      </c>
      <c r="G85" s="380" t="s">
        <v>1797</v>
      </c>
      <c r="H85" s="379" t="s">
        <v>2111</v>
      </c>
      <c r="I85" s="379" t="s">
        <v>2743</v>
      </c>
      <c r="J85" s="384" t="s">
        <v>2439</v>
      </c>
      <c r="K85" s="29"/>
    </row>
    <row r="86" spans="2:11">
      <c r="B86" s="356" t="s">
        <v>482</v>
      </c>
      <c r="C86" s="384" t="s">
        <v>273</v>
      </c>
      <c r="D86" s="384" t="s">
        <v>863</v>
      </c>
      <c r="E86" s="370" t="s">
        <v>1183</v>
      </c>
      <c r="F86" s="379" t="s">
        <v>1494</v>
      </c>
      <c r="G86" s="380" t="s">
        <v>1798</v>
      </c>
      <c r="H86" s="379" t="s">
        <v>2112</v>
      </c>
      <c r="I86" s="379" t="s">
        <v>2744</v>
      </c>
      <c r="J86" s="384" t="s">
        <v>2440</v>
      </c>
      <c r="K86" s="29"/>
    </row>
    <row r="87" spans="2:11">
      <c r="B87" s="356" t="s">
        <v>483</v>
      </c>
      <c r="C87" s="384" t="s">
        <v>272</v>
      </c>
      <c r="D87" s="384" t="s">
        <v>864</v>
      </c>
      <c r="E87" s="370" t="s">
        <v>1184</v>
      </c>
      <c r="F87" s="379" t="s">
        <v>1495</v>
      </c>
      <c r="G87" s="380" t="s">
        <v>1799</v>
      </c>
      <c r="H87" s="379" t="s">
        <v>2113</v>
      </c>
      <c r="I87" s="388" t="s">
        <v>2745</v>
      </c>
      <c r="J87" s="384" t="s">
        <v>2441</v>
      </c>
      <c r="K87" s="29"/>
    </row>
    <row r="88" spans="2:11">
      <c r="B88" s="356" t="s">
        <v>484</v>
      </c>
      <c r="C88" s="384" t="s">
        <v>271</v>
      </c>
      <c r="D88" s="384" t="s">
        <v>865</v>
      </c>
      <c r="E88" s="370" t="s">
        <v>1185</v>
      </c>
      <c r="F88" s="379" t="s">
        <v>1496</v>
      </c>
      <c r="G88" s="380" t="s">
        <v>1800</v>
      </c>
      <c r="H88" s="379" t="s">
        <v>2114</v>
      </c>
      <c r="I88" s="388" t="s">
        <v>2746</v>
      </c>
      <c r="J88" s="384" t="s">
        <v>2442</v>
      </c>
      <c r="K88" s="29"/>
    </row>
    <row r="89" spans="2:11">
      <c r="B89" s="356" t="s">
        <v>468</v>
      </c>
      <c r="C89" s="384" t="s">
        <v>84</v>
      </c>
      <c r="D89" s="384" t="s">
        <v>866</v>
      </c>
      <c r="E89" s="370" t="s">
        <v>1186</v>
      </c>
      <c r="F89" s="379" t="s">
        <v>1497</v>
      </c>
      <c r="G89" s="380" t="s">
        <v>1801</v>
      </c>
      <c r="H89" s="379" t="s">
        <v>2115</v>
      </c>
      <c r="I89" s="388" t="s">
        <v>2747</v>
      </c>
      <c r="J89" s="384" t="s">
        <v>2443</v>
      </c>
      <c r="K89" s="29"/>
    </row>
    <row r="90" spans="2:11">
      <c r="B90" s="356" t="s">
        <v>1104</v>
      </c>
      <c r="C90" s="384" t="s">
        <v>1103</v>
      </c>
      <c r="D90" s="384" t="s">
        <v>1105</v>
      </c>
      <c r="E90" s="370" t="s">
        <v>1187</v>
      </c>
      <c r="F90" s="379" t="s">
        <v>1498</v>
      </c>
      <c r="G90" s="380" t="s">
        <v>1802</v>
      </c>
      <c r="H90" s="379" t="s">
        <v>2116</v>
      </c>
      <c r="I90" s="388" t="s">
        <v>2748</v>
      </c>
      <c r="J90" s="384" t="s">
        <v>2444</v>
      </c>
      <c r="K90" s="29"/>
    </row>
    <row r="91" spans="2:11">
      <c r="B91" s="356" t="s">
        <v>485</v>
      </c>
      <c r="C91" s="384" t="s">
        <v>275</v>
      </c>
      <c r="D91" s="384" t="s">
        <v>867</v>
      </c>
      <c r="E91" s="370" t="s">
        <v>1188</v>
      </c>
      <c r="F91" s="379" t="s">
        <v>1499</v>
      </c>
      <c r="G91" s="380" t="s">
        <v>1803</v>
      </c>
      <c r="H91" s="379" t="s">
        <v>2117</v>
      </c>
      <c r="I91" s="388" t="s">
        <v>2749</v>
      </c>
      <c r="J91" s="384" t="s">
        <v>2445</v>
      </c>
      <c r="K91" s="29"/>
    </row>
    <row r="92" spans="2:11">
      <c r="B92" s="356" t="s">
        <v>486</v>
      </c>
      <c r="C92" s="384" t="s">
        <v>274</v>
      </c>
      <c r="D92" s="384" t="s">
        <v>877</v>
      </c>
      <c r="E92" s="370" t="s">
        <v>1189</v>
      </c>
      <c r="F92" s="379" t="s">
        <v>1500</v>
      </c>
      <c r="G92" s="380" t="s">
        <v>1804</v>
      </c>
      <c r="H92" s="379" t="s">
        <v>2118</v>
      </c>
      <c r="I92" s="388" t="s">
        <v>2750</v>
      </c>
      <c r="J92" s="384" t="s">
        <v>2446</v>
      </c>
      <c r="K92" s="29"/>
    </row>
    <row r="93" spans="2:11">
      <c r="B93" s="356" t="s">
        <v>487</v>
      </c>
      <c r="C93" s="384" t="s">
        <v>276</v>
      </c>
      <c r="D93" s="384" t="s">
        <v>868</v>
      </c>
      <c r="E93" s="370" t="s">
        <v>1190</v>
      </c>
      <c r="F93" s="379" t="s">
        <v>1501</v>
      </c>
      <c r="G93" s="384" t="s">
        <v>1805</v>
      </c>
      <c r="H93" s="379" t="s">
        <v>2119</v>
      </c>
      <c r="I93" s="388" t="s">
        <v>2751</v>
      </c>
      <c r="J93" s="384" t="s">
        <v>2447</v>
      </c>
      <c r="K93" s="29"/>
    </row>
    <row r="94" spans="2:11" ht="45">
      <c r="B94" s="356" t="s">
        <v>488</v>
      </c>
      <c r="C94" s="384" t="s">
        <v>277</v>
      </c>
      <c r="D94" s="384" t="s">
        <v>879</v>
      </c>
      <c r="E94" s="370" t="s">
        <v>1191</v>
      </c>
      <c r="F94" s="369" t="s">
        <v>1502</v>
      </c>
      <c r="G94" s="380" t="s">
        <v>1806</v>
      </c>
      <c r="H94" s="389" t="s">
        <v>2120</v>
      </c>
      <c r="I94" s="390" t="s">
        <v>2752</v>
      </c>
      <c r="J94" s="384" t="s">
        <v>2448</v>
      </c>
      <c r="K94" s="29"/>
    </row>
    <row r="95" spans="2:11">
      <c r="B95" s="356" t="s">
        <v>457</v>
      </c>
      <c r="C95" s="384" t="s">
        <v>276</v>
      </c>
      <c r="D95" s="384" t="s">
        <v>868</v>
      </c>
      <c r="E95" s="370" t="s">
        <v>1190</v>
      </c>
      <c r="F95" s="379" t="s">
        <v>1501</v>
      </c>
      <c r="G95" s="380" t="s">
        <v>1805</v>
      </c>
      <c r="H95" s="379" t="s">
        <v>2119</v>
      </c>
      <c r="I95" s="388" t="s">
        <v>2751</v>
      </c>
      <c r="J95" s="384" t="s">
        <v>2447</v>
      </c>
      <c r="K95" s="29"/>
    </row>
    <row r="96" spans="2:11">
      <c r="B96" s="356" t="s">
        <v>458</v>
      </c>
      <c r="C96" s="384" t="s">
        <v>280</v>
      </c>
      <c r="D96" s="384" t="s">
        <v>880</v>
      </c>
      <c r="E96" s="370" t="s">
        <v>1192</v>
      </c>
      <c r="F96" s="379" t="s">
        <v>1503</v>
      </c>
      <c r="G96" s="380" t="s">
        <v>1807</v>
      </c>
      <c r="H96" s="379" t="s">
        <v>2121</v>
      </c>
      <c r="I96" s="388" t="s">
        <v>2753</v>
      </c>
      <c r="J96" s="384" t="s">
        <v>2449</v>
      </c>
      <c r="K96" s="29"/>
    </row>
    <row r="97" spans="2:11">
      <c r="B97" s="356" t="s">
        <v>459</v>
      </c>
      <c r="C97" s="384" t="s">
        <v>281</v>
      </c>
      <c r="D97" s="384" t="s">
        <v>881</v>
      </c>
      <c r="E97" s="370" t="s">
        <v>1193</v>
      </c>
      <c r="F97" s="379" t="s">
        <v>1504</v>
      </c>
      <c r="G97" s="380" t="s">
        <v>1808</v>
      </c>
      <c r="H97" s="379" t="s">
        <v>2122</v>
      </c>
      <c r="I97" s="388" t="s">
        <v>2754</v>
      </c>
      <c r="J97" s="384" t="s">
        <v>2450</v>
      </c>
      <c r="K97" s="29"/>
    </row>
    <row r="98" spans="2:11">
      <c r="B98" s="356" t="s">
        <v>460</v>
      </c>
      <c r="C98" s="384" t="s">
        <v>65</v>
      </c>
      <c r="D98" s="384" t="s">
        <v>587</v>
      </c>
      <c r="E98" s="370" t="s">
        <v>1194</v>
      </c>
      <c r="F98" s="379" t="s">
        <v>1505</v>
      </c>
      <c r="G98" s="380" t="s">
        <v>1809</v>
      </c>
      <c r="H98" s="379" t="s">
        <v>2123</v>
      </c>
      <c r="I98" s="388" t="s">
        <v>2755</v>
      </c>
      <c r="J98" s="384" t="s">
        <v>2451</v>
      </c>
      <c r="K98" s="29"/>
    </row>
    <row r="99" spans="2:11">
      <c r="B99" s="356" t="s">
        <v>461</v>
      </c>
      <c r="C99" s="384" t="s">
        <v>373</v>
      </c>
      <c r="D99" s="384" t="s">
        <v>882</v>
      </c>
      <c r="E99" s="370" t="s">
        <v>1195</v>
      </c>
      <c r="F99" s="379" t="s">
        <v>1506</v>
      </c>
      <c r="G99" s="380" t="s">
        <v>1810</v>
      </c>
      <c r="H99" s="379" t="s">
        <v>2124</v>
      </c>
      <c r="I99" s="388" t="s">
        <v>2756</v>
      </c>
      <c r="J99" s="384" t="s">
        <v>2452</v>
      </c>
      <c r="K99" s="29"/>
    </row>
    <row r="100" spans="2:11">
      <c r="B100" s="356" t="s">
        <v>423</v>
      </c>
      <c r="C100" s="384" t="s">
        <v>335</v>
      </c>
      <c r="D100" s="384" t="s">
        <v>883</v>
      </c>
      <c r="E100" s="370" t="s">
        <v>1196</v>
      </c>
      <c r="F100" s="379" t="s">
        <v>1507</v>
      </c>
      <c r="G100" s="384" t="s">
        <v>1811</v>
      </c>
      <c r="H100" s="379" t="s">
        <v>2125</v>
      </c>
      <c r="I100" s="388" t="s">
        <v>2757</v>
      </c>
      <c r="J100" s="384" t="s">
        <v>2453</v>
      </c>
      <c r="K100" s="29"/>
    </row>
    <row r="101" spans="2:11">
      <c r="B101" s="356" t="s">
        <v>462</v>
      </c>
      <c r="C101" s="384" t="s">
        <v>298</v>
      </c>
      <c r="D101" s="384" t="s">
        <v>888</v>
      </c>
      <c r="E101" s="370" t="s">
        <v>1197</v>
      </c>
      <c r="F101" s="379" t="s">
        <v>1508</v>
      </c>
      <c r="G101" s="380" t="s">
        <v>1812</v>
      </c>
      <c r="H101" s="379" t="s">
        <v>2126</v>
      </c>
      <c r="I101" s="379" t="s">
        <v>2758</v>
      </c>
      <c r="J101" s="384" t="s">
        <v>2454</v>
      </c>
      <c r="K101" s="29"/>
    </row>
    <row r="102" spans="2:11" ht="30">
      <c r="B102" s="356" t="s">
        <v>424</v>
      </c>
      <c r="C102" s="384" t="s">
        <v>890</v>
      </c>
      <c r="D102" s="384" t="s">
        <v>891</v>
      </c>
      <c r="E102" s="370" t="s">
        <v>1198</v>
      </c>
      <c r="F102" s="389" t="s">
        <v>1509</v>
      </c>
      <c r="G102" s="380" t="s">
        <v>1813</v>
      </c>
      <c r="H102" s="389" t="s">
        <v>2127</v>
      </c>
      <c r="I102" s="389" t="s">
        <v>2759</v>
      </c>
      <c r="J102" s="384" t="s">
        <v>2455</v>
      </c>
      <c r="K102" s="29"/>
    </row>
    <row r="103" spans="2:11" ht="30">
      <c r="B103" s="356" t="s">
        <v>469</v>
      </c>
      <c r="C103" s="384" t="s">
        <v>282</v>
      </c>
      <c r="D103" s="384" t="str">
        <f>D62</f>
        <v>Erfolgt die Kühlung durch Hilfsaggregate in den Transportfahrzeugen?</v>
      </c>
      <c r="E103" s="370" t="s">
        <v>1159</v>
      </c>
      <c r="F103" s="369" t="s">
        <v>1471</v>
      </c>
      <c r="G103" s="380" t="s">
        <v>1774</v>
      </c>
      <c r="H103" s="379" t="s">
        <v>2128</v>
      </c>
      <c r="I103" s="379" t="s">
        <v>2720</v>
      </c>
      <c r="J103" s="384" t="s">
        <v>2418</v>
      </c>
      <c r="K103" s="29"/>
    </row>
    <row r="104" spans="2:11" ht="30">
      <c r="B104" s="356" t="s">
        <v>470</v>
      </c>
      <c r="C104" s="384" t="s">
        <v>283</v>
      </c>
      <c r="D104" s="384" t="s">
        <v>889</v>
      </c>
      <c r="E104" s="370" t="s">
        <v>1199</v>
      </c>
      <c r="F104" s="389" t="s">
        <v>1510</v>
      </c>
      <c r="G104" s="380" t="s">
        <v>1814</v>
      </c>
      <c r="H104" s="389" t="s">
        <v>2129</v>
      </c>
      <c r="I104" s="378" t="s">
        <v>2760</v>
      </c>
      <c r="J104" s="384" t="s">
        <v>2456</v>
      </c>
      <c r="K104" s="29"/>
    </row>
    <row r="105" spans="2:11">
      <c r="B105" s="356" t="s">
        <v>425</v>
      </c>
      <c r="C105" s="384" t="s">
        <v>297</v>
      </c>
      <c r="D105" s="384" t="s">
        <v>885</v>
      </c>
      <c r="E105" s="370" t="s">
        <v>1200</v>
      </c>
      <c r="F105" s="379" t="s">
        <v>1511</v>
      </c>
      <c r="G105" s="380" t="s">
        <v>1815</v>
      </c>
      <c r="H105" s="379" t="s">
        <v>2130</v>
      </c>
      <c r="I105" s="388" t="s">
        <v>2761</v>
      </c>
      <c r="J105" s="384" t="s">
        <v>2457</v>
      </c>
      <c r="K105" s="29"/>
    </row>
    <row r="106" spans="2:11" ht="30">
      <c r="B106" s="356" t="s">
        <v>432</v>
      </c>
      <c r="C106" s="384" t="s">
        <v>312</v>
      </c>
      <c r="D106" s="384" t="s">
        <v>893</v>
      </c>
      <c r="E106" s="370" t="s">
        <v>1201</v>
      </c>
      <c r="F106" s="389" t="s">
        <v>1512</v>
      </c>
      <c r="G106" s="380" t="s">
        <v>1816</v>
      </c>
      <c r="H106" s="389" t="s">
        <v>2131</v>
      </c>
      <c r="I106" s="380" t="s">
        <v>2762</v>
      </c>
      <c r="J106" s="384" t="s">
        <v>2455</v>
      </c>
      <c r="K106" s="29"/>
    </row>
    <row r="107" spans="2:11">
      <c r="B107" s="356" t="s">
        <v>426</v>
      </c>
      <c r="C107" s="384" t="s">
        <v>336</v>
      </c>
      <c r="D107" s="384" t="s">
        <v>884</v>
      </c>
      <c r="E107" s="370" t="s">
        <v>1202</v>
      </c>
      <c r="F107" s="379" t="s">
        <v>1513</v>
      </c>
      <c r="G107" s="384" t="s">
        <v>1817</v>
      </c>
      <c r="H107" s="379" t="s">
        <v>2132</v>
      </c>
      <c r="I107" s="388" t="s">
        <v>2763</v>
      </c>
      <c r="J107" s="384" t="s">
        <v>2458</v>
      </c>
      <c r="K107" s="29"/>
    </row>
    <row r="108" spans="2:11" ht="60">
      <c r="B108" s="356" t="s">
        <v>433</v>
      </c>
      <c r="C108" s="384" t="s">
        <v>311</v>
      </c>
      <c r="D108" s="384" t="s">
        <v>892</v>
      </c>
      <c r="E108" s="370" t="s">
        <v>1203</v>
      </c>
      <c r="F108" s="369" t="s">
        <v>1514</v>
      </c>
      <c r="G108" s="380" t="s">
        <v>1818</v>
      </c>
      <c r="H108" s="389" t="s">
        <v>2133</v>
      </c>
      <c r="I108" s="380" t="s">
        <v>2764</v>
      </c>
      <c r="J108" s="384" t="s">
        <v>2459</v>
      </c>
      <c r="K108" s="29"/>
    </row>
    <row r="109" spans="2:11">
      <c r="B109" s="356" t="s">
        <v>427</v>
      </c>
      <c r="C109" s="384" t="s">
        <v>299</v>
      </c>
      <c r="D109" s="384" t="s">
        <v>886</v>
      </c>
      <c r="E109" s="370" t="s">
        <v>1204</v>
      </c>
      <c r="F109" s="379" t="s">
        <v>1515</v>
      </c>
      <c r="G109" s="380" t="s">
        <v>1819</v>
      </c>
      <c r="H109" s="379" t="s">
        <v>2134</v>
      </c>
      <c r="I109" s="388" t="s">
        <v>2765</v>
      </c>
      <c r="J109" s="384" t="s">
        <v>2460</v>
      </c>
      <c r="K109" s="29"/>
    </row>
    <row r="110" spans="2:11" ht="30">
      <c r="B110" s="356" t="s">
        <v>434</v>
      </c>
      <c r="C110" s="384" t="s">
        <v>310</v>
      </c>
      <c r="D110" s="384" t="s">
        <v>887</v>
      </c>
      <c r="E110" s="370" t="s">
        <v>1205</v>
      </c>
      <c r="F110" s="389" t="s">
        <v>1516</v>
      </c>
      <c r="G110" s="380" t="s">
        <v>1820</v>
      </c>
      <c r="H110" s="389" t="s">
        <v>2135</v>
      </c>
      <c r="I110" s="389" t="s">
        <v>2766</v>
      </c>
      <c r="J110" s="384" t="s">
        <v>2461</v>
      </c>
      <c r="K110" s="29"/>
    </row>
    <row r="111" spans="2:11">
      <c r="B111" s="356" t="s">
        <v>428</v>
      </c>
      <c r="C111" s="384" t="s">
        <v>338</v>
      </c>
      <c r="D111" s="380" t="s">
        <v>842</v>
      </c>
      <c r="E111" s="370" t="s">
        <v>1206</v>
      </c>
      <c r="F111" s="379" t="s">
        <v>1517</v>
      </c>
      <c r="G111" s="384" t="s">
        <v>1821</v>
      </c>
      <c r="H111" s="379" t="s">
        <v>2136</v>
      </c>
      <c r="I111" s="388" t="s">
        <v>2767</v>
      </c>
      <c r="J111" s="384" t="s">
        <v>2462</v>
      </c>
      <c r="K111" s="29"/>
    </row>
    <row r="112" spans="2:11" ht="45">
      <c r="B112" s="356" t="s">
        <v>435</v>
      </c>
      <c r="C112" s="384" t="s">
        <v>309</v>
      </c>
      <c r="D112" s="384" t="s">
        <v>894</v>
      </c>
      <c r="E112" s="370" t="s">
        <v>1207</v>
      </c>
      <c r="F112" s="389" t="s">
        <v>1518</v>
      </c>
      <c r="G112" s="380" t="s">
        <v>1822</v>
      </c>
      <c r="H112" s="389" t="s">
        <v>2137</v>
      </c>
      <c r="I112" s="390" t="s">
        <v>2768</v>
      </c>
      <c r="J112" s="384" t="s">
        <v>2463</v>
      </c>
      <c r="K112" s="29"/>
    </row>
    <row r="113" spans="2:11">
      <c r="B113" s="356" t="s">
        <v>429</v>
      </c>
      <c r="C113" s="384" t="s">
        <v>180</v>
      </c>
      <c r="D113" s="380" t="s">
        <v>843</v>
      </c>
      <c r="E113" s="370" t="s">
        <v>1208</v>
      </c>
      <c r="F113" s="379" t="s">
        <v>1519</v>
      </c>
      <c r="G113" s="380" t="s">
        <v>1823</v>
      </c>
      <c r="H113" s="379" t="s">
        <v>2138</v>
      </c>
      <c r="I113" s="379" t="s">
        <v>2769</v>
      </c>
      <c r="J113" s="384" t="s">
        <v>2464</v>
      </c>
      <c r="K113" s="29"/>
    </row>
    <row r="114" spans="2:11" ht="30">
      <c r="B114" s="356" t="s">
        <v>436</v>
      </c>
      <c r="C114" s="384" t="s">
        <v>308</v>
      </c>
      <c r="D114" s="384" t="s">
        <v>895</v>
      </c>
      <c r="E114" s="370" t="s">
        <v>1209</v>
      </c>
      <c r="F114" s="389" t="s">
        <v>1520</v>
      </c>
      <c r="G114" s="380" t="s">
        <v>1824</v>
      </c>
      <c r="H114" s="379" t="s">
        <v>2139</v>
      </c>
      <c r="I114" s="379" t="s">
        <v>2770</v>
      </c>
      <c r="J114" s="384" t="s">
        <v>2465</v>
      </c>
      <c r="K114" s="29"/>
    </row>
    <row r="115" spans="2:11">
      <c r="B115" s="356" t="s">
        <v>490</v>
      </c>
      <c r="C115" s="384" t="s">
        <v>285</v>
      </c>
      <c r="D115" s="384" t="s">
        <v>896</v>
      </c>
      <c r="E115" s="370" t="s">
        <v>1210</v>
      </c>
      <c r="F115" s="379" t="s">
        <v>1521</v>
      </c>
      <c r="G115" s="380" t="s">
        <v>1825</v>
      </c>
      <c r="H115" s="379" t="s">
        <v>2140</v>
      </c>
      <c r="I115" s="388" t="s">
        <v>2771</v>
      </c>
      <c r="J115" s="384" t="s">
        <v>2466</v>
      </c>
      <c r="K115" s="29"/>
    </row>
    <row r="116" spans="2:11">
      <c r="B116" s="356" t="s">
        <v>489</v>
      </c>
      <c r="C116" s="384" t="s">
        <v>284</v>
      </c>
      <c r="D116" s="384" t="s">
        <v>897</v>
      </c>
      <c r="E116" s="370" t="s">
        <v>1211</v>
      </c>
      <c r="F116" s="379" t="s">
        <v>1522</v>
      </c>
      <c r="G116" s="380" t="s">
        <v>1826</v>
      </c>
      <c r="H116" s="379" t="s">
        <v>2141</v>
      </c>
      <c r="I116" s="379" t="s">
        <v>2772</v>
      </c>
      <c r="J116" s="384" t="s">
        <v>2467</v>
      </c>
      <c r="K116" s="29"/>
    </row>
    <row r="117" spans="2:11" ht="30">
      <c r="B117" s="356" t="s">
        <v>430</v>
      </c>
      <c r="C117" s="384" t="s">
        <v>337</v>
      </c>
      <c r="D117" s="380" t="s">
        <v>844</v>
      </c>
      <c r="E117" s="370" t="s">
        <v>1212</v>
      </c>
      <c r="F117" s="379" t="s">
        <v>1523</v>
      </c>
      <c r="G117" s="380" t="s">
        <v>1827</v>
      </c>
      <c r="H117" s="379" t="s">
        <v>2142</v>
      </c>
      <c r="I117" s="388" t="s">
        <v>2773</v>
      </c>
      <c r="J117" s="384" t="s">
        <v>2468</v>
      </c>
      <c r="K117" s="29"/>
    </row>
    <row r="118" spans="2:11" ht="30">
      <c r="B118" s="356" t="s">
        <v>437</v>
      </c>
      <c r="C118" s="384" t="s">
        <v>307</v>
      </c>
      <c r="D118" s="384" t="s">
        <v>898</v>
      </c>
      <c r="E118" s="370" t="s">
        <v>1213</v>
      </c>
      <c r="F118" s="389" t="s">
        <v>1524</v>
      </c>
      <c r="G118" s="380" t="s">
        <v>1828</v>
      </c>
      <c r="H118" s="389" t="s">
        <v>2143</v>
      </c>
      <c r="I118" s="389" t="s">
        <v>2774</v>
      </c>
      <c r="J118" s="384" t="s">
        <v>2469</v>
      </c>
      <c r="K118" s="29"/>
    </row>
    <row r="119" spans="2:11">
      <c r="B119" s="356" t="s">
        <v>431</v>
      </c>
      <c r="C119" s="384" t="s">
        <v>170</v>
      </c>
      <c r="D119" s="380" t="s">
        <v>845</v>
      </c>
      <c r="E119" s="370" t="s">
        <v>1214</v>
      </c>
      <c r="F119" s="379" t="s">
        <v>1525</v>
      </c>
      <c r="G119" s="380" t="s">
        <v>1829</v>
      </c>
      <c r="H119" s="379" t="s">
        <v>2144</v>
      </c>
      <c r="I119" s="388" t="s">
        <v>2775</v>
      </c>
      <c r="J119" s="384" t="s">
        <v>170</v>
      </c>
      <c r="K119" s="29"/>
    </row>
    <row r="120" spans="2:11" ht="45">
      <c r="B120" s="356" t="s">
        <v>438</v>
      </c>
      <c r="C120" s="384" t="s">
        <v>286</v>
      </c>
      <c r="D120" s="384" t="s">
        <v>899</v>
      </c>
      <c r="E120" s="370" t="s">
        <v>1215</v>
      </c>
      <c r="F120" s="389" t="s">
        <v>1526</v>
      </c>
      <c r="G120" s="380" t="s">
        <v>1830</v>
      </c>
      <c r="H120" s="389" t="s">
        <v>2145</v>
      </c>
      <c r="I120" s="390" t="s">
        <v>2776</v>
      </c>
      <c r="J120" s="384" t="s">
        <v>2470</v>
      </c>
      <c r="K120" s="29"/>
    </row>
    <row r="121" spans="2:11">
      <c r="B121" s="30" t="s">
        <v>602</v>
      </c>
      <c r="C121" s="384" t="s">
        <v>305</v>
      </c>
      <c r="D121" s="384" t="s">
        <v>900</v>
      </c>
      <c r="E121" s="370" t="s">
        <v>1216</v>
      </c>
      <c r="F121" s="379" t="s">
        <v>1527</v>
      </c>
      <c r="G121" s="380" t="s">
        <v>1831</v>
      </c>
      <c r="H121" s="379" t="s">
        <v>2146</v>
      </c>
      <c r="I121" s="388" t="s">
        <v>2777</v>
      </c>
      <c r="J121" s="384" t="s">
        <v>2471</v>
      </c>
      <c r="K121" s="29"/>
    </row>
    <row r="122" spans="2:11" ht="60">
      <c r="B122" s="30" t="s">
        <v>603</v>
      </c>
      <c r="C122" s="384" t="s">
        <v>378</v>
      </c>
      <c r="D122" s="384" t="s">
        <v>901</v>
      </c>
      <c r="E122" s="370" t="s">
        <v>1217</v>
      </c>
      <c r="F122" s="389" t="s">
        <v>1528</v>
      </c>
      <c r="G122" s="380" t="s">
        <v>1832</v>
      </c>
      <c r="H122" s="389" t="s">
        <v>2147</v>
      </c>
      <c r="I122" s="380" t="s">
        <v>2778</v>
      </c>
      <c r="J122" s="384" t="s">
        <v>2472</v>
      </c>
      <c r="K122" s="29"/>
    </row>
    <row r="123" spans="2:11">
      <c r="B123" s="30" t="s">
        <v>607</v>
      </c>
      <c r="C123" s="384" t="s">
        <v>331</v>
      </c>
      <c r="D123" s="384" t="s">
        <v>902</v>
      </c>
      <c r="E123" s="370" t="s">
        <v>1218</v>
      </c>
      <c r="F123" s="379" t="s">
        <v>1529</v>
      </c>
      <c r="G123" s="380" t="s">
        <v>1833</v>
      </c>
      <c r="H123" s="389" t="s">
        <v>2148</v>
      </c>
      <c r="I123" s="388" t="s">
        <v>2704</v>
      </c>
      <c r="J123" s="384" t="s">
        <v>2473</v>
      </c>
      <c r="K123" s="29"/>
    </row>
    <row r="124" spans="2:11" ht="75">
      <c r="B124" s="30" t="s">
        <v>608</v>
      </c>
      <c r="C124" s="384" t="s">
        <v>374</v>
      </c>
      <c r="D124" s="384" t="s">
        <v>903</v>
      </c>
      <c r="E124" s="370" t="s">
        <v>1219</v>
      </c>
      <c r="F124" s="369" t="s">
        <v>1530</v>
      </c>
      <c r="G124" s="380" t="s">
        <v>1834</v>
      </c>
      <c r="H124" s="389" t="s">
        <v>2149</v>
      </c>
      <c r="I124" s="384" t="s">
        <v>2779</v>
      </c>
      <c r="J124" s="384" t="s">
        <v>2474</v>
      </c>
      <c r="K124" s="29"/>
    </row>
    <row r="125" spans="2:11">
      <c r="B125" s="30" t="s">
        <v>609</v>
      </c>
      <c r="C125" s="384" t="s">
        <v>333</v>
      </c>
      <c r="D125" s="384" t="s">
        <v>904</v>
      </c>
      <c r="E125" s="370" t="s">
        <v>1220</v>
      </c>
      <c r="F125" s="379" t="s">
        <v>1531</v>
      </c>
      <c r="G125" s="380" t="s">
        <v>1835</v>
      </c>
      <c r="H125" s="379" t="s">
        <v>2150</v>
      </c>
      <c r="I125" s="379" t="s">
        <v>2780</v>
      </c>
      <c r="J125" s="384" t="s">
        <v>2475</v>
      </c>
      <c r="K125" s="29"/>
    </row>
    <row r="126" spans="2:11" ht="30">
      <c r="B126" s="30" t="s">
        <v>626</v>
      </c>
      <c r="C126" s="384" t="s">
        <v>330</v>
      </c>
      <c r="D126" s="384" t="s">
        <v>905</v>
      </c>
      <c r="E126" s="370" t="s">
        <v>1221</v>
      </c>
      <c r="F126" s="389" t="s">
        <v>1532</v>
      </c>
      <c r="G126" s="380" t="s">
        <v>1836</v>
      </c>
      <c r="H126" s="389" t="s">
        <v>2151</v>
      </c>
      <c r="I126" s="383" t="s">
        <v>2781</v>
      </c>
      <c r="J126" s="384" t="s">
        <v>2476</v>
      </c>
      <c r="K126" s="29"/>
    </row>
    <row r="127" spans="2:11">
      <c r="B127" s="30" t="s">
        <v>605</v>
      </c>
      <c r="C127" s="384" t="s">
        <v>296</v>
      </c>
      <c r="D127" s="384" t="s">
        <v>906</v>
      </c>
      <c r="E127" s="370" t="s">
        <v>1222</v>
      </c>
      <c r="F127" s="379" t="s">
        <v>1533</v>
      </c>
      <c r="G127" s="380" t="s">
        <v>1837</v>
      </c>
      <c r="H127" s="379" t="s">
        <v>2152</v>
      </c>
      <c r="I127" s="388" t="s">
        <v>2782</v>
      </c>
      <c r="J127" s="384" t="s">
        <v>2477</v>
      </c>
      <c r="K127" s="29"/>
    </row>
    <row r="128" spans="2:11">
      <c r="B128" s="30" t="s">
        <v>604</v>
      </c>
      <c r="C128" s="384" t="s">
        <v>148</v>
      </c>
      <c r="D128" s="384" t="s">
        <v>148</v>
      </c>
      <c r="E128" s="370" t="s">
        <v>148</v>
      </c>
      <c r="F128" s="379" t="s">
        <v>148</v>
      </c>
      <c r="G128" s="384" t="s">
        <v>148</v>
      </c>
      <c r="H128" s="379" t="s">
        <v>2153</v>
      </c>
      <c r="I128" s="388" t="s">
        <v>148</v>
      </c>
      <c r="J128" s="384" t="s">
        <v>148</v>
      </c>
      <c r="K128" s="29"/>
    </row>
    <row r="129" spans="2:11">
      <c r="B129" s="30" t="s">
        <v>610</v>
      </c>
      <c r="C129" s="384" t="s">
        <v>606</v>
      </c>
      <c r="D129" s="384" t="s">
        <v>907</v>
      </c>
      <c r="E129" s="370" t="s">
        <v>1223</v>
      </c>
      <c r="F129" s="379" t="s">
        <v>1534</v>
      </c>
      <c r="G129" s="384" t="s">
        <v>1838</v>
      </c>
      <c r="H129" s="379" t="s">
        <v>2154</v>
      </c>
      <c r="I129" s="388" t="s">
        <v>2783</v>
      </c>
      <c r="J129" s="384" t="s">
        <v>2478</v>
      </c>
      <c r="K129" s="29"/>
    </row>
    <row r="130" spans="2:11">
      <c r="B130" s="30" t="s">
        <v>611</v>
      </c>
      <c r="C130" s="384" t="s">
        <v>332</v>
      </c>
      <c r="D130" s="384" t="s">
        <v>908</v>
      </c>
      <c r="E130" s="370" t="s">
        <v>1224</v>
      </c>
      <c r="F130" s="379" t="s">
        <v>1535</v>
      </c>
      <c r="G130" s="380" t="s">
        <v>1839</v>
      </c>
      <c r="H130" s="379" t="s">
        <v>2155</v>
      </c>
      <c r="I130" s="388" t="s">
        <v>2784</v>
      </c>
      <c r="J130" s="384" t="s">
        <v>2479</v>
      </c>
      <c r="K130" s="29"/>
    </row>
    <row r="131" spans="2:11">
      <c r="B131" s="30" t="s">
        <v>627</v>
      </c>
      <c r="C131" s="384" t="s">
        <v>359</v>
      </c>
      <c r="D131" s="384" t="s">
        <v>909</v>
      </c>
      <c r="E131" s="370" t="s">
        <v>1225</v>
      </c>
      <c r="F131" s="389" t="s">
        <v>1536</v>
      </c>
      <c r="G131" s="380" t="s">
        <v>1840</v>
      </c>
      <c r="H131" s="379" t="s">
        <v>2156</v>
      </c>
      <c r="I131" s="388" t="s">
        <v>2785</v>
      </c>
      <c r="J131" s="384" t="s">
        <v>2480</v>
      </c>
      <c r="K131" s="29"/>
    </row>
    <row r="132" spans="2:11" ht="60">
      <c r="B132" s="30" t="s">
        <v>612</v>
      </c>
      <c r="C132" s="384" t="s">
        <v>375</v>
      </c>
      <c r="D132" s="384" t="s">
        <v>910</v>
      </c>
      <c r="E132" s="370" t="s">
        <v>1226</v>
      </c>
      <c r="F132" s="389" t="s">
        <v>1537</v>
      </c>
      <c r="G132" s="380" t="s">
        <v>1841</v>
      </c>
      <c r="H132" s="389" t="s">
        <v>2157</v>
      </c>
      <c r="I132" s="390" t="s">
        <v>2786</v>
      </c>
      <c r="J132" s="384" t="s">
        <v>2481</v>
      </c>
      <c r="K132" s="29"/>
    </row>
    <row r="133" spans="2:11">
      <c r="B133" s="30" t="s">
        <v>617</v>
      </c>
      <c r="C133" s="384" t="s">
        <v>616</v>
      </c>
      <c r="D133" s="384" t="s">
        <v>914</v>
      </c>
      <c r="E133" s="370" t="s">
        <v>1227</v>
      </c>
      <c r="F133" s="379" t="s">
        <v>1538</v>
      </c>
      <c r="G133" s="380" t="s">
        <v>1842</v>
      </c>
      <c r="H133" s="379" t="s">
        <v>2158</v>
      </c>
      <c r="I133" s="379" t="s">
        <v>2787</v>
      </c>
      <c r="J133" s="384" t="s">
        <v>2482</v>
      </c>
      <c r="K133" s="29"/>
    </row>
    <row r="134" spans="2:11">
      <c r="B134" s="30" t="s">
        <v>613</v>
      </c>
      <c r="C134" s="384" t="s">
        <v>147</v>
      </c>
      <c r="D134" s="384" t="s">
        <v>912</v>
      </c>
      <c r="E134" s="370" t="s">
        <v>147</v>
      </c>
      <c r="F134" s="379" t="s">
        <v>147</v>
      </c>
      <c r="G134" s="384" t="s">
        <v>147</v>
      </c>
      <c r="H134" s="388" t="s">
        <v>2159</v>
      </c>
      <c r="I134" s="388" t="s">
        <v>147</v>
      </c>
      <c r="J134" s="384" t="s">
        <v>147</v>
      </c>
      <c r="K134" s="29"/>
    </row>
    <row r="135" spans="2:11">
      <c r="B135" s="30" t="s">
        <v>614</v>
      </c>
      <c r="C135" s="384" t="s">
        <v>615</v>
      </c>
      <c r="D135" s="384" t="s">
        <v>913</v>
      </c>
      <c r="E135" s="370" t="s">
        <v>1228</v>
      </c>
      <c r="F135" s="389" t="s">
        <v>1539</v>
      </c>
      <c r="G135" s="384" t="s">
        <v>1843</v>
      </c>
      <c r="H135" s="379" t="s">
        <v>2160</v>
      </c>
      <c r="I135" s="388" t="s">
        <v>2788</v>
      </c>
      <c r="J135" s="384" t="s">
        <v>2483</v>
      </c>
      <c r="K135" s="29"/>
    </row>
    <row r="136" spans="2:11">
      <c r="B136" s="30" t="s">
        <v>618</v>
      </c>
      <c r="C136" s="384" t="s">
        <v>360</v>
      </c>
      <c r="D136" s="384" t="s">
        <v>911</v>
      </c>
      <c r="E136" s="370" t="s">
        <v>1229</v>
      </c>
      <c r="F136" s="379" t="s">
        <v>1540</v>
      </c>
      <c r="G136" s="380" t="s">
        <v>1844</v>
      </c>
      <c r="H136" s="379" t="s">
        <v>2161</v>
      </c>
      <c r="I136" s="388" t="s">
        <v>2789</v>
      </c>
      <c r="J136" s="384" t="s">
        <v>2484</v>
      </c>
      <c r="K136" s="29"/>
    </row>
    <row r="137" spans="2:11">
      <c r="B137" s="30" t="s">
        <v>619</v>
      </c>
      <c r="C137" s="384" t="s">
        <v>376</v>
      </c>
      <c r="D137" s="384" t="s">
        <v>915</v>
      </c>
      <c r="E137" s="370" t="s">
        <v>1230</v>
      </c>
      <c r="F137" s="379" t="s">
        <v>1541</v>
      </c>
      <c r="G137" s="380" t="s">
        <v>1845</v>
      </c>
      <c r="H137" s="379" t="s">
        <v>2162</v>
      </c>
      <c r="I137" s="388" t="s">
        <v>2790</v>
      </c>
      <c r="J137" s="384" t="s">
        <v>2485</v>
      </c>
      <c r="K137" s="29"/>
    </row>
    <row r="138" spans="2:11" ht="150">
      <c r="B138" s="30" t="s">
        <v>620</v>
      </c>
      <c r="C138" s="384" t="s">
        <v>377</v>
      </c>
      <c r="D138" s="384" t="s">
        <v>916</v>
      </c>
      <c r="E138" s="370" t="s">
        <v>1231</v>
      </c>
      <c r="F138" s="389" t="s">
        <v>1542</v>
      </c>
      <c r="G138" s="380" t="s">
        <v>1846</v>
      </c>
      <c r="H138" s="389" t="s">
        <v>2163</v>
      </c>
      <c r="I138" s="384" t="s">
        <v>2791</v>
      </c>
      <c r="J138" s="384" t="s">
        <v>2486</v>
      </c>
      <c r="K138" s="29"/>
    </row>
    <row r="139" spans="2:11">
      <c r="B139" s="30" t="s">
        <v>621</v>
      </c>
      <c r="C139" s="384" t="s">
        <v>362</v>
      </c>
      <c r="D139" s="384" t="s">
        <v>917</v>
      </c>
      <c r="E139" s="370" t="s">
        <v>1232</v>
      </c>
      <c r="F139" s="379" t="s">
        <v>1543</v>
      </c>
      <c r="G139" s="380" t="s">
        <v>1847</v>
      </c>
      <c r="H139" s="379" t="s">
        <v>2164</v>
      </c>
      <c r="I139" s="388" t="s">
        <v>2792</v>
      </c>
      <c r="J139" s="384" t="s">
        <v>2487</v>
      </c>
      <c r="K139" s="29"/>
    </row>
    <row r="140" spans="2:11">
      <c r="B140" s="30" t="s">
        <v>623</v>
      </c>
      <c r="C140" s="384" t="s">
        <v>82</v>
      </c>
      <c r="D140" s="384" t="s">
        <v>918</v>
      </c>
      <c r="E140" s="370" t="s">
        <v>1233</v>
      </c>
      <c r="F140" s="379" t="s">
        <v>1544</v>
      </c>
      <c r="G140" s="380" t="s">
        <v>1848</v>
      </c>
      <c r="H140" s="379" t="s">
        <v>2165</v>
      </c>
      <c r="I140" s="388" t="s">
        <v>2793</v>
      </c>
      <c r="J140" s="384" t="s">
        <v>2488</v>
      </c>
      <c r="K140" s="29"/>
    </row>
    <row r="141" spans="2:11">
      <c r="B141" s="30" t="s">
        <v>624</v>
      </c>
      <c r="C141" s="384" t="s">
        <v>622</v>
      </c>
      <c r="D141" s="384" t="s">
        <v>919</v>
      </c>
      <c r="E141" s="370" t="s">
        <v>1234</v>
      </c>
      <c r="F141" s="379" t="s">
        <v>1545</v>
      </c>
      <c r="G141" s="380" t="s">
        <v>1849</v>
      </c>
      <c r="H141" s="379" t="s">
        <v>2166</v>
      </c>
      <c r="I141" s="388" t="s">
        <v>2794</v>
      </c>
      <c r="J141" s="384" t="s">
        <v>2489</v>
      </c>
      <c r="K141" s="29"/>
    </row>
    <row r="142" spans="2:11">
      <c r="B142" s="30" t="s">
        <v>625</v>
      </c>
      <c r="C142" s="384" t="s">
        <v>361</v>
      </c>
      <c r="D142" s="384" t="s">
        <v>920</v>
      </c>
      <c r="E142" s="370" t="s">
        <v>1235</v>
      </c>
      <c r="F142" s="379" t="s">
        <v>1546</v>
      </c>
      <c r="G142" s="380" t="s">
        <v>1850</v>
      </c>
      <c r="H142" s="379" t="s">
        <v>2167</v>
      </c>
      <c r="I142" s="388" t="s">
        <v>2795</v>
      </c>
      <c r="J142" s="384" t="s">
        <v>2490</v>
      </c>
      <c r="K142" s="29"/>
    </row>
    <row r="143" spans="2:11">
      <c r="B143" s="356" t="s">
        <v>629</v>
      </c>
      <c r="C143" s="384" t="s">
        <v>347</v>
      </c>
      <c r="D143" s="384" t="s">
        <v>921</v>
      </c>
      <c r="E143" s="370" t="s">
        <v>1236</v>
      </c>
      <c r="F143" s="379" t="s">
        <v>1547</v>
      </c>
      <c r="G143" s="380" t="s">
        <v>1851</v>
      </c>
      <c r="H143" s="379" t="s">
        <v>2168</v>
      </c>
      <c r="I143" s="388" t="s">
        <v>2796</v>
      </c>
      <c r="J143" s="384" t="s">
        <v>2491</v>
      </c>
      <c r="K143" s="29"/>
    </row>
    <row r="144" spans="2:11" ht="135">
      <c r="B144" s="356" t="s">
        <v>630</v>
      </c>
      <c r="C144" s="384" t="s">
        <v>358</v>
      </c>
      <c r="D144" s="384" t="s">
        <v>922</v>
      </c>
      <c r="E144" s="370" t="s">
        <v>1237</v>
      </c>
      <c r="F144" s="396" t="s">
        <v>1548</v>
      </c>
      <c r="G144" s="380" t="s">
        <v>1852</v>
      </c>
      <c r="H144" s="389" t="s">
        <v>2169</v>
      </c>
      <c r="I144" s="384" t="s">
        <v>2797</v>
      </c>
      <c r="J144" s="384" t="s">
        <v>2492</v>
      </c>
      <c r="K144" s="29"/>
    </row>
    <row r="145" spans="2:11">
      <c r="B145" s="356" t="s">
        <v>665</v>
      </c>
      <c r="C145" s="384" t="s">
        <v>350</v>
      </c>
      <c r="D145" s="384" t="s">
        <v>923</v>
      </c>
      <c r="E145" s="370" t="s">
        <v>1238</v>
      </c>
      <c r="F145" s="379" t="s">
        <v>1549</v>
      </c>
      <c r="G145" s="380" t="s">
        <v>1853</v>
      </c>
      <c r="H145" s="379" t="s">
        <v>2170</v>
      </c>
      <c r="I145" s="379" t="s">
        <v>2798</v>
      </c>
      <c r="J145" s="384" t="s">
        <v>2493</v>
      </c>
      <c r="K145" s="29"/>
    </row>
    <row r="146" spans="2:11" ht="75">
      <c r="B146" s="356" t="s">
        <v>666</v>
      </c>
      <c r="C146" s="384" t="s">
        <v>379</v>
      </c>
      <c r="D146" s="384" t="s">
        <v>924</v>
      </c>
      <c r="E146" s="370" t="s">
        <v>1239</v>
      </c>
      <c r="F146" s="369" t="s">
        <v>1550</v>
      </c>
      <c r="G146" s="380" t="s">
        <v>1854</v>
      </c>
      <c r="H146" s="389" t="s">
        <v>2171</v>
      </c>
      <c r="I146" s="390" t="s">
        <v>2799</v>
      </c>
      <c r="J146" s="384" t="s">
        <v>2494</v>
      </c>
      <c r="K146" s="29"/>
    </row>
    <row r="147" spans="2:11">
      <c r="B147" s="356" t="s">
        <v>631</v>
      </c>
      <c r="C147" s="384" t="s">
        <v>925</v>
      </c>
      <c r="D147" s="384" t="s">
        <v>926</v>
      </c>
      <c r="E147" s="370" t="s">
        <v>1240</v>
      </c>
      <c r="F147" s="379" t="s">
        <v>1551</v>
      </c>
      <c r="G147" s="380" t="s">
        <v>1855</v>
      </c>
      <c r="H147" s="379" t="s">
        <v>2172</v>
      </c>
      <c r="I147" s="388" t="s">
        <v>2800</v>
      </c>
      <c r="J147" s="384" t="s">
        <v>2495</v>
      </c>
      <c r="K147" s="29"/>
    </row>
    <row r="148" spans="2:11">
      <c r="B148" s="356" t="s">
        <v>632</v>
      </c>
      <c r="C148" s="384" t="s">
        <v>353</v>
      </c>
      <c r="D148" s="384" t="s">
        <v>927</v>
      </c>
      <c r="E148" s="370" t="s">
        <v>1241</v>
      </c>
      <c r="F148" s="379" t="s">
        <v>1552</v>
      </c>
      <c r="G148" s="380" t="s">
        <v>1856</v>
      </c>
      <c r="H148" s="379" t="s">
        <v>2173</v>
      </c>
      <c r="I148" s="388" t="s">
        <v>2801</v>
      </c>
      <c r="J148" s="384" t="s">
        <v>2496</v>
      </c>
      <c r="K148" s="29"/>
    </row>
    <row r="149" spans="2:11">
      <c r="B149" s="356" t="s">
        <v>633</v>
      </c>
      <c r="C149" s="384" t="s">
        <v>148</v>
      </c>
      <c r="D149" s="384" t="s">
        <v>148</v>
      </c>
      <c r="E149" s="370" t="s">
        <v>148</v>
      </c>
      <c r="F149" s="379" t="s">
        <v>148</v>
      </c>
      <c r="G149" s="384" t="s">
        <v>148</v>
      </c>
      <c r="H149" s="379" t="s">
        <v>2153</v>
      </c>
      <c r="I149" s="388" t="s">
        <v>148</v>
      </c>
      <c r="J149" s="384" t="s">
        <v>148</v>
      </c>
      <c r="K149" s="29"/>
    </row>
    <row r="150" spans="2:11">
      <c r="B150" s="356" t="s">
        <v>634</v>
      </c>
      <c r="C150" s="384" t="s">
        <v>322</v>
      </c>
      <c r="D150" s="384" t="s">
        <v>322</v>
      </c>
      <c r="E150" s="370" t="s">
        <v>322</v>
      </c>
      <c r="F150" s="379" t="s">
        <v>322</v>
      </c>
      <c r="G150" s="384" t="s">
        <v>322</v>
      </c>
      <c r="H150" s="379" t="s">
        <v>322</v>
      </c>
      <c r="I150" s="388" t="s">
        <v>322</v>
      </c>
      <c r="J150" s="384" t="s">
        <v>322</v>
      </c>
      <c r="K150" s="29"/>
    </row>
    <row r="151" spans="2:11">
      <c r="B151" s="356" t="s">
        <v>667</v>
      </c>
      <c r="C151" s="384" t="s">
        <v>348</v>
      </c>
      <c r="D151" s="384" t="s">
        <v>928</v>
      </c>
      <c r="E151" s="370" t="s">
        <v>1242</v>
      </c>
      <c r="F151" s="379" t="s">
        <v>1553</v>
      </c>
      <c r="G151" s="380" t="s">
        <v>1857</v>
      </c>
      <c r="H151" s="379" t="s">
        <v>2174</v>
      </c>
      <c r="I151" s="388" t="s">
        <v>2802</v>
      </c>
      <c r="J151" s="384" t="s">
        <v>2497</v>
      </c>
      <c r="K151" s="29"/>
    </row>
    <row r="152" spans="2:11" ht="75">
      <c r="B152" s="356" t="s">
        <v>668</v>
      </c>
      <c r="C152" s="384" t="s">
        <v>356</v>
      </c>
      <c r="D152" s="384" t="s">
        <v>930</v>
      </c>
      <c r="E152" s="370" t="s">
        <v>1243</v>
      </c>
      <c r="F152" s="389" t="s">
        <v>1554</v>
      </c>
      <c r="G152" s="380" t="s">
        <v>1858</v>
      </c>
      <c r="H152" s="389" t="s">
        <v>2175</v>
      </c>
      <c r="I152" s="384" t="s">
        <v>2803</v>
      </c>
      <c r="J152" s="384" t="s">
        <v>2498</v>
      </c>
      <c r="K152" s="29"/>
    </row>
    <row r="153" spans="2:11">
      <c r="B153" s="356" t="s">
        <v>635</v>
      </c>
      <c r="C153" s="384" t="s">
        <v>349</v>
      </c>
      <c r="D153" s="384" t="s">
        <v>929</v>
      </c>
      <c r="E153" s="370" t="s">
        <v>1244</v>
      </c>
      <c r="F153" s="379" t="s">
        <v>1555</v>
      </c>
      <c r="G153" s="380" t="s">
        <v>1859</v>
      </c>
      <c r="H153" s="379" t="s">
        <v>2176</v>
      </c>
      <c r="I153" s="379" t="s">
        <v>2804</v>
      </c>
      <c r="J153" s="384" t="s">
        <v>2499</v>
      </c>
      <c r="K153" s="29"/>
    </row>
    <row r="154" spans="2:11">
      <c r="B154" s="356" t="s">
        <v>636</v>
      </c>
      <c r="C154" s="384" t="s">
        <v>81</v>
      </c>
      <c r="D154" s="384" t="s">
        <v>931</v>
      </c>
      <c r="E154" s="370" t="s">
        <v>1245</v>
      </c>
      <c r="F154" s="379" t="s">
        <v>1556</v>
      </c>
      <c r="G154" s="380" t="s">
        <v>1860</v>
      </c>
      <c r="H154" s="379" t="s">
        <v>2177</v>
      </c>
      <c r="I154" s="388" t="s">
        <v>2805</v>
      </c>
      <c r="J154" s="384" t="s">
        <v>2500</v>
      </c>
      <c r="K154" s="29"/>
    </row>
    <row r="155" spans="2:11">
      <c r="B155" s="356" t="s">
        <v>637</v>
      </c>
      <c r="C155" s="384" t="s">
        <v>80</v>
      </c>
      <c r="D155" s="384" t="s">
        <v>932</v>
      </c>
      <c r="E155" s="370" t="s">
        <v>1246</v>
      </c>
      <c r="F155" s="379" t="s">
        <v>1557</v>
      </c>
      <c r="G155" s="380" t="s">
        <v>1861</v>
      </c>
      <c r="H155" s="379" t="s">
        <v>2178</v>
      </c>
      <c r="I155" s="388" t="s">
        <v>2806</v>
      </c>
      <c r="J155" s="384" t="s">
        <v>2501</v>
      </c>
      <c r="K155" s="29"/>
    </row>
    <row r="156" spans="2:11">
      <c r="B156" s="356" t="s">
        <v>638</v>
      </c>
      <c r="C156" s="384" t="s">
        <v>79</v>
      </c>
      <c r="D156" s="384" t="s">
        <v>933</v>
      </c>
      <c r="E156" s="370" t="s">
        <v>1247</v>
      </c>
      <c r="F156" s="379" t="s">
        <v>1558</v>
      </c>
      <c r="G156" s="380" t="s">
        <v>1862</v>
      </c>
      <c r="H156" s="379" t="s">
        <v>2179</v>
      </c>
      <c r="I156" s="388" t="s">
        <v>2807</v>
      </c>
      <c r="J156" s="384" t="s">
        <v>2502</v>
      </c>
      <c r="K156" s="29"/>
    </row>
    <row r="157" spans="2:11">
      <c r="B157" s="356" t="s">
        <v>639</v>
      </c>
      <c r="C157" s="384" t="s">
        <v>78</v>
      </c>
      <c r="D157" s="384" t="s">
        <v>934</v>
      </c>
      <c r="E157" s="370" t="s">
        <v>1248</v>
      </c>
      <c r="F157" s="379" t="s">
        <v>1559</v>
      </c>
      <c r="G157" s="384" t="s">
        <v>1863</v>
      </c>
      <c r="H157" s="379" t="s">
        <v>2180</v>
      </c>
      <c r="I157" s="388" t="s">
        <v>2808</v>
      </c>
      <c r="J157" s="384" t="s">
        <v>2503</v>
      </c>
      <c r="K157" s="29"/>
    </row>
    <row r="158" spans="2:11">
      <c r="B158" s="356" t="s">
        <v>640</v>
      </c>
      <c r="C158" s="384" t="s">
        <v>44</v>
      </c>
      <c r="D158" s="384" t="s">
        <v>59</v>
      </c>
      <c r="E158" s="370" t="s">
        <v>1249</v>
      </c>
      <c r="F158" s="379" t="s">
        <v>1445</v>
      </c>
      <c r="G158" s="380" t="s">
        <v>1747</v>
      </c>
      <c r="H158" s="379" t="s">
        <v>50</v>
      </c>
      <c r="I158" s="388" t="s">
        <v>2693</v>
      </c>
      <c r="J158" s="384" t="s">
        <v>2504</v>
      </c>
      <c r="K158" s="29"/>
    </row>
    <row r="159" spans="2:11">
      <c r="B159" s="356" t="s">
        <v>641</v>
      </c>
      <c r="C159" s="384" t="s">
        <v>936</v>
      </c>
      <c r="D159" s="384" t="s">
        <v>935</v>
      </c>
      <c r="E159" s="370" t="s">
        <v>1250</v>
      </c>
      <c r="F159" s="379" t="s">
        <v>1560</v>
      </c>
      <c r="G159" s="380" t="s">
        <v>1864</v>
      </c>
      <c r="H159" s="379" t="s">
        <v>2181</v>
      </c>
      <c r="I159" s="388" t="s">
        <v>2809</v>
      </c>
      <c r="J159" s="384" t="s">
        <v>2505</v>
      </c>
      <c r="K159" s="29"/>
    </row>
    <row r="160" spans="2:11">
      <c r="B160" s="356" t="s">
        <v>642</v>
      </c>
      <c r="C160" s="384" t="s">
        <v>355</v>
      </c>
      <c r="D160" s="384" t="s">
        <v>937</v>
      </c>
      <c r="E160" s="370" t="s">
        <v>1251</v>
      </c>
      <c r="F160" s="379" t="s">
        <v>1561</v>
      </c>
      <c r="G160" s="380" t="s">
        <v>1865</v>
      </c>
      <c r="H160" s="379" t="s">
        <v>2182</v>
      </c>
      <c r="I160" s="388" t="s">
        <v>2810</v>
      </c>
      <c r="J160" s="384" t="s">
        <v>2506</v>
      </c>
      <c r="K160" s="29"/>
    </row>
    <row r="161" spans="2:11" ht="30">
      <c r="B161" s="356" t="s">
        <v>643</v>
      </c>
      <c r="C161" s="384" t="s">
        <v>357</v>
      </c>
      <c r="D161" s="384" t="s">
        <v>938</v>
      </c>
      <c r="E161" s="370" t="s">
        <v>1252</v>
      </c>
      <c r="F161" s="389" t="s">
        <v>1562</v>
      </c>
      <c r="G161" s="380" t="s">
        <v>1866</v>
      </c>
      <c r="H161" s="389" t="s">
        <v>2183</v>
      </c>
      <c r="I161" s="383" t="s">
        <v>2811</v>
      </c>
      <c r="J161" s="384" t="s">
        <v>2507</v>
      </c>
      <c r="K161" s="29"/>
    </row>
    <row r="162" spans="2:11">
      <c r="B162" s="356" t="s">
        <v>669</v>
      </c>
      <c r="C162" s="384" t="s">
        <v>363</v>
      </c>
      <c r="D162" s="384" t="s">
        <v>939</v>
      </c>
      <c r="E162" s="370" t="s">
        <v>1253</v>
      </c>
      <c r="F162" s="379" t="s">
        <v>1563</v>
      </c>
      <c r="G162" s="380" t="s">
        <v>1867</v>
      </c>
      <c r="H162" s="379" t="s">
        <v>2184</v>
      </c>
      <c r="I162" s="388" t="s">
        <v>2812</v>
      </c>
      <c r="J162" s="384" t="s">
        <v>2508</v>
      </c>
      <c r="K162" s="29"/>
    </row>
    <row r="163" spans="2:11" ht="30">
      <c r="B163" s="356" t="s">
        <v>670</v>
      </c>
      <c r="C163" s="384" t="s">
        <v>364</v>
      </c>
      <c r="D163" s="384" t="s">
        <v>940</v>
      </c>
      <c r="E163" s="370" t="s">
        <v>1254</v>
      </c>
      <c r="F163" s="389" t="s">
        <v>1564</v>
      </c>
      <c r="G163" s="380" t="s">
        <v>1868</v>
      </c>
      <c r="H163" s="389" t="s">
        <v>2185</v>
      </c>
      <c r="I163" s="389" t="s">
        <v>2813</v>
      </c>
      <c r="J163" s="384" t="s">
        <v>2509</v>
      </c>
      <c r="K163" s="29"/>
    </row>
    <row r="164" spans="2:11">
      <c r="B164" s="356" t="s">
        <v>658</v>
      </c>
      <c r="C164" s="384" t="s">
        <v>354</v>
      </c>
      <c r="D164" s="384" t="s">
        <v>941</v>
      </c>
      <c r="E164" s="370" t="s">
        <v>1255</v>
      </c>
      <c r="F164" s="379" t="s">
        <v>1565</v>
      </c>
      <c r="G164" s="380" t="s">
        <v>1869</v>
      </c>
      <c r="H164" s="379" t="s">
        <v>2186</v>
      </c>
      <c r="I164" s="388" t="s">
        <v>2814</v>
      </c>
      <c r="J164" s="384" t="s">
        <v>2510</v>
      </c>
      <c r="K164" s="29"/>
    </row>
    <row r="165" spans="2:11">
      <c r="B165" s="356" t="s">
        <v>644</v>
      </c>
      <c r="C165" s="384" t="s">
        <v>345</v>
      </c>
      <c r="D165" s="384" t="s">
        <v>942</v>
      </c>
      <c r="E165" s="370" t="s">
        <v>1256</v>
      </c>
      <c r="F165" s="379" t="s">
        <v>1566</v>
      </c>
      <c r="G165" s="380" t="s">
        <v>1870</v>
      </c>
      <c r="H165" s="379" t="s">
        <v>2187</v>
      </c>
      <c r="I165" s="388" t="s">
        <v>2815</v>
      </c>
      <c r="J165" s="384" t="s">
        <v>2511</v>
      </c>
      <c r="K165" s="29"/>
    </row>
    <row r="166" spans="2:11">
      <c r="B166" s="356" t="s">
        <v>645</v>
      </c>
      <c r="C166" s="384" t="s">
        <v>325</v>
      </c>
      <c r="D166" s="384" t="s">
        <v>943</v>
      </c>
      <c r="E166" s="370" t="s">
        <v>1257</v>
      </c>
      <c r="F166" s="379" t="s">
        <v>1567</v>
      </c>
      <c r="G166" s="380" t="s">
        <v>1871</v>
      </c>
      <c r="H166" s="379" t="s">
        <v>2188</v>
      </c>
      <c r="I166" s="388" t="s">
        <v>2816</v>
      </c>
      <c r="J166" s="384" t="s">
        <v>2512</v>
      </c>
      <c r="K166" s="29"/>
    </row>
    <row r="167" spans="2:11">
      <c r="B167" s="356" t="s">
        <v>646</v>
      </c>
      <c r="C167" s="384" t="s">
        <v>326</v>
      </c>
      <c r="D167" s="384" t="s">
        <v>944</v>
      </c>
      <c r="E167" s="370" t="s">
        <v>1258</v>
      </c>
      <c r="F167" s="379" t="s">
        <v>1568</v>
      </c>
      <c r="G167" s="380" t="s">
        <v>1872</v>
      </c>
      <c r="H167" s="379" t="s">
        <v>2189</v>
      </c>
      <c r="I167" s="388" t="s">
        <v>2817</v>
      </c>
      <c r="J167" s="384" t="s">
        <v>2513</v>
      </c>
      <c r="K167" s="29"/>
    </row>
    <row r="168" spans="2:11">
      <c r="B168" s="356" t="s">
        <v>647</v>
      </c>
      <c r="C168" s="384" t="s">
        <v>323</v>
      </c>
      <c r="D168" s="384" t="s">
        <v>945</v>
      </c>
      <c r="E168" s="370" t="s">
        <v>1259</v>
      </c>
      <c r="F168" s="379" t="s">
        <v>1569</v>
      </c>
      <c r="G168" s="380" t="s">
        <v>1873</v>
      </c>
      <c r="H168" s="379" t="s">
        <v>323</v>
      </c>
      <c r="I168" s="388" t="s">
        <v>2818</v>
      </c>
      <c r="J168" s="384" t="s">
        <v>323</v>
      </c>
      <c r="K168" s="29"/>
    </row>
    <row r="169" spans="2:11">
      <c r="B169" s="356" t="s">
        <v>649</v>
      </c>
      <c r="C169" s="384" t="s">
        <v>946</v>
      </c>
      <c r="D169" s="384" t="s">
        <v>947</v>
      </c>
      <c r="E169" s="370" t="s">
        <v>1260</v>
      </c>
      <c r="F169" s="379" t="s">
        <v>1570</v>
      </c>
      <c r="G169" s="380" t="s">
        <v>1874</v>
      </c>
      <c r="H169" s="379" t="s">
        <v>2190</v>
      </c>
      <c r="I169" s="388" t="s">
        <v>2819</v>
      </c>
      <c r="J169" s="384" t="s">
        <v>2514</v>
      </c>
      <c r="K169" s="29"/>
    </row>
    <row r="170" spans="2:11">
      <c r="B170" s="356" t="s">
        <v>648</v>
      </c>
      <c r="C170" s="384" t="s">
        <v>324</v>
      </c>
      <c r="D170" s="384" t="s">
        <v>324</v>
      </c>
      <c r="E170" s="370" t="s">
        <v>1261</v>
      </c>
      <c r="F170" s="379" t="s">
        <v>1571</v>
      </c>
      <c r="G170" s="384" t="s">
        <v>1875</v>
      </c>
      <c r="H170" s="379" t="s">
        <v>324</v>
      </c>
      <c r="I170" s="388" t="s">
        <v>2820</v>
      </c>
      <c r="J170" s="384" t="s">
        <v>324</v>
      </c>
      <c r="K170" s="29"/>
    </row>
    <row r="171" spans="2:11">
      <c r="B171" s="356" t="s">
        <v>650</v>
      </c>
      <c r="C171" s="384" t="s">
        <v>948</v>
      </c>
      <c r="D171" s="384" t="s">
        <v>949</v>
      </c>
      <c r="E171" s="370" t="s">
        <v>1262</v>
      </c>
      <c r="F171" s="379" t="s">
        <v>1572</v>
      </c>
      <c r="G171" s="380" t="s">
        <v>1876</v>
      </c>
      <c r="H171" s="379" t="s">
        <v>2191</v>
      </c>
      <c r="I171" s="388" t="s">
        <v>2821</v>
      </c>
      <c r="J171" s="384" t="s">
        <v>2515</v>
      </c>
      <c r="K171" s="29"/>
    </row>
    <row r="172" spans="2:11">
      <c r="B172" s="356" t="s">
        <v>654</v>
      </c>
      <c r="C172" s="384" t="s">
        <v>327</v>
      </c>
      <c r="D172" s="384" t="s">
        <v>950</v>
      </c>
      <c r="E172" s="370" t="s">
        <v>1263</v>
      </c>
      <c r="F172" s="379" t="s">
        <v>1573</v>
      </c>
      <c r="G172" s="380" t="s">
        <v>1877</v>
      </c>
      <c r="H172" s="379" t="s">
        <v>2192</v>
      </c>
      <c r="I172" s="388" t="s">
        <v>2822</v>
      </c>
      <c r="J172" s="384" t="s">
        <v>2516</v>
      </c>
      <c r="K172" s="29"/>
    </row>
    <row r="173" spans="2:11">
      <c r="B173" s="356" t="s">
        <v>651</v>
      </c>
      <c r="C173" s="384" t="s">
        <v>82</v>
      </c>
      <c r="D173" s="384" t="s">
        <v>918</v>
      </c>
      <c r="E173" s="370" t="s">
        <v>1233</v>
      </c>
      <c r="F173" s="379" t="s">
        <v>1544</v>
      </c>
      <c r="G173" s="384" t="s">
        <v>1848</v>
      </c>
      <c r="H173" s="379" t="s">
        <v>2165</v>
      </c>
      <c r="I173" s="388" t="s">
        <v>2793</v>
      </c>
      <c r="J173" s="384" t="s">
        <v>2488</v>
      </c>
      <c r="K173" s="29"/>
    </row>
    <row r="174" spans="2:11">
      <c r="B174" s="356" t="s">
        <v>652</v>
      </c>
      <c r="C174" s="384" t="s">
        <v>77</v>
      </c>
      <c r="D174" s="384" t="s">
        <v>866</v>
      </c>
      <c r="E174" s="370" t="s">
        <v>1264</v>
      </c>
      <c r="F174" s="379" t="s">
        <v>1574</v>
      </c>
      <c r="G174" s="380" t="s">
        <v>1878</v>
      </c>
      <c r="H174" s="379" t="s">
        <v>2193</v>
      </c>
      <c r="I174" s="388" t="s">
        <v>2823</v>
      </c>
      <c r="J174" s="384" t="s">
        <v>2517</v>
      </c>
      <c r="K174" s="29"/>
    </row>
    <row r="175" spans="2:11">
      <c r="B175" s="356" t="s">
        <v>653</v>
      </c>
      <c r="C175" s="384" t="s">
        <v>328</v>
      </c>
      <c r="D175" s="384" t="s">
        <v>951</v>
      </c>
      <c r="E175" s="370" t="s">
        <v>1265</v>
      </c>
      <c r="F175" s="379" t="s">
        <v>1575</v>
      </c>
      <c r="G175" s="380" t="s">
        <v>1879</v>
      </c>
      <c r="H175" s="379" t="s">
        <v>2194</v>
      </c>
      <c r="I175" s="388" t="s">
        <v>2824</v>
      </c>
      <c r="J175" s="384" t="s">
        <v>2518</v>
      </c>
      <c r="K175" s="29"/>
    </row>
    <row r="176" spans="2:11">
      <c r="B176" s="356" t="s">
        <v>655</v>
      </c>
      <c r="C176" s="384" t="s">
        <v>344</v>
      </c>
      <c r="D176" s="384" t="s">
        <v>585</v>
      </c>
      <c r="E176" s="370" t="s">
        <v>1266</v>
      </c>
      <c r="F176" s="379" t="s">
        <v>1576</v>
      </c>
      <c r="G176" s="380" t="s">
        <v>1880</v>
      </c>
      <c r="H176" s="379" t="s">
        <v>2195</v>
      </c>
      <c r="I176" s="388" t="s">
        <v>2825</v>
      </c>
      <c r="J176" s="384" t="s">
        <v>2519</v>
      </c>
      <c r="K176" s="29"/>
    </row>
    <row r="177" spans="2:11">
      <c r="B177" s="356" t="s">
        <v>656</v>
      </c>
      <c r="C177" s="384" t="s">
        <v>83</v>
      </c>
      <c r="D177" s="384" t="s">
        <v>855</v>
      </c>
      <c r="E177" s="370" t="s">
        <v>1167</v>
      </c>
      <c r="F177" s="379" t="s">
        <v>1167</v>
      </c>
      <c r="G177" s="380" t="s">
        <v>1782</v>
      </c>
      <c r="H177" s="379" t="s">
        <v>2196</v>
      </c>
      <c r="I177" s="388" t="s">
        <v>2826</v>
      </c>
      <c r="J177" s="384" t="s">
        <v>83</v>
      </c>
      <c r="K177" s="29"/>
    </row>
    <row r="178" spans="2:11">
      <c r="B178" s="356" t="s">
        <v>657</v>
      </c>
      <c r="C178" s="384" t="s">
        <v>346</v>
      </c>
      <c r="D178" s="384" t="s">
        <v>952</v>
      </c>
      <c r="E178" s="370" t="s">
        <v>1267</v>
      </c>
      <c r="F178" s="379" t="s">
        <v>1577</v>
      </c>
      <c r="G178" s="380" t="s">
        <v>1881</v>
      </c>
      <c r="H178" s="379" t="s">
        <v>2197</v>
      </c>
      <c r="I178" s="388" t="s">
        <v>2827</v>
      </c>
      <c r="J178" s="384" t="s">
        <v>2520</v>
      </c>
      <c r="K178" s="29"/>
    </row>
    <row r="179" spans="2:11">
      <c r="B179" s="356" t="s">
        <v>659</v>
      </c>
      <c r="C179" s="384" t="s">
        <v>352</v>
      </c>
      <c r="D179" s="384" t="s">
        <v>953</v>
      </c>
      <c r="E179" s="370" t="s">
        <v>1268</v>
      </c>
      <c r="F179" s="379" t="s">
        <v>1578</v>
      </c>
      <c r="G179" s="380" t="s">
        <v>1882</v>
      </c>
      <c r="H179" s="379" t="s">
        <v>2198</v>
      </c>
      <c r="I179" s="388" t="s">
        <v>2828</v>
      </c>
      <c r="J179" s="384" t="s">
        <v>2521</v>
      </c>
      <c r="K179" s="29"/>
    </row>
    <row r="180" spans="2:11">
      <c r="B180" s="356" t="s">
        <v>660</v>
      </c>
      <c r="C180" s="384" t="s">
        <v>365</v>
      </c>
      <c r="D180" s="384" t="s">
        <v>954</v>
      </c>
      <c r="E180" s="370" t="s">
        <v>1269</v>
      </c>
      <c r="F180" s="379" t="s">
        <v>1579</v>
      </c>
      <c r="G180" s="380" t="s">
        <v>1883</v>
      </c>
      <c r="H180" s="379" t="s">
        <v>2199</v>
      </c>
      <c r="I180" s="388" t="s">
        <v>2829</v>
      </c>
      <c r="J180" s="384" t="s">
        <v>2522</v>
      </c>
      <c r="K180" s="29"/>
    </row>
    <row r="181" spans="2:11" ht="30">
      <c r="B181" s="356" t="s">
        <v>661</v>
      </c>
      <c r="C181" s="384" t="s">
        <v>380</v>
      </c>
      <c r="D181" s="384" t="s">
        <v>955</v>
      </c>
      <c r="E181" s="370" t="s">
        <v>1270</v>
      </c>
      <c r="F181" s="389" t="s">
        <v>1580</v>
      </c>
      <c r="G181" s="380" t="s">
        <v>1884</v>
      </c>
      <c r="H181" s="389" t="s">
        <v>2200</v>
      </c>
      <c r="I181" s="380" t="s">
        <v>2830</v>
      </c>
      <c r="J181" s="384" t="s">
        <v>2523</v>
      </c>
      <c r="K181" s="29"/>
    </row>
    <row r="182" spans="2:11">
      <c r="B182" s="356" t="s">
        <v>662</v>
      </c>
      <c r="C182" s="384" t="s">
        <v>76</v>
      </c>
      <c r="D182" s="384" t="s">
        <v>956</v>
      </c>
      <c r="E182" s="370" t="s">
        <v>1271</v>
      </c>
      <c r="F182" s="379" t="s">
        <v>1581</v>
      </c>
      <c r="G182" s="380" t="s">
        <v>1885</v>
      </c>
      <c r="H182" s="379" t="s">
        <v>1581</v>
      </c>
      <c r="I182" s="388" t="s">
        <v>2831</v>
      </c>
      <c r="J182" s="384" t="s">
        <v>2524</v>
      </c>
      <c r="K182" s="29"/>
    </row>
    <row r="183" spans="2:11">
      <c r="B183" s="356" t="s">
        <v>663</v>
      </c>
      <c r="C183" s="384" t="s">
        <v>71</v>
      </c>
      <c r="D183" s="384" t="s">
        <v>957</v>
      </c>
      <c r="E183" s="370" t="s">
        <v>1272</v>
      </c>
      <c r="F183" s="379" t="s">
        <v>1582</v>
      </c>
      <c r="G183" s="380" t="s">
        <v>1886</v>
      </c>
      <c r="H183" s="379" t="s">
        <v>2201</v>
      </c>
      <c r="I183" s="388" t="s">
        <v>2832</v>
      </c>
      <c r="J183" s="384" t="s">
        <v>2525</v>
      </c>
      <c r="K183" s="29"/>
    </row>
    <row r="184" spans="2:11">
      <c r="B184" s="356" t="s">
        <v>664</v>
      </c>
      <c r="C184" s="384" t="s">
        <v>70</v>
      </c>
      <c r="D184" s="384" t="s">
        <v>855</v>
      </c>
      <c r="E184" s="370" t="s">
        <v>1273</v>
      </c>
      <c r="F184" s="379" t="s">
        <v>1583</v>
      </c>
      <c r="G184" s="380" t="s">
        <v>1887</v>
      </c>
      <c r="H184" s="379" t="s">
        <v>2202</v>
      </c>
      <c r="I184" s="388" t="s">
        <v>2826</v>
      </c>
      <c r="J184" s="384" t="s">
        <v>2526</v>
      </c>
      <c r="K184" s="29"/>
    </row>
    <row r="185" spans="2:11">
      <c r="B185" s="30" t="s">
        <v>676</v>
      </c>
      <c r="C185" s="384" t="s">
        <v>959</v>
      </c>
      <c r="D185" s="384" t="s">
        <v>960</v>
      </c>
      <c r="E185" s="370" t="s">
        <v>1274</v>
      </c>
      <c r="F185" s="379" t="s">
        <v>1584</v>
      </c>
      <c r="G185" s="380" t="s">
        <v>1888</v>
      </c>
      <c r="H185" s="379" t="s">
        <v>2203</v>
      </c>
      <c r="I185" s="384" t="s">
        <v>2833</v>
      </c>
      <c r="J185" s="384" t="s">
        <v>2527</v>
      </c>
      <c r="K185" s="29"/>
    </row>
    <row r="186" spans="2:11" ht="45">
      <c r="B186" s="30" t="s">
        <v>677</v>
      </c>
      <c r="C186" s="384" t="s">
        <v>679</v>
      </c>
      <c r="D186" s="384" t="s">
        <v>961</v>
      </c>
      <c r="E186" s="370" t="s">
        <v>1275</v>
      </c>
      <c r="F186" s="389" t="s">
        <v>1585</v>
      </c>
      <c r="G186" s="380" t="s">
        <v>1889</v>
      </c>
      <c r="H186" s="389" t="s">
        <v>2204</v>
      </c>
      <c r="I186" s="384" t="s">
        <v>2834</v>
      </c>
      <c r="J186" s="384" t="s">
        <v>2528</v>
      </c>
      <c r="K186" s="29"/>
    </row>
    <row r="187" spans="2:11" ht="45">
      <c r="B187" s="30" t="s">
        <v>678</v>
      </c>
      <c r="C187" s="384" t="s">
        <v>680</v>
      </c>
      <c r="D187" s="384" t="s">
        <v>962</v>
      </c>
      <c r="E187" s="370" t="s">
        <v>1276</v>
      </c>
      <c r="F187" s="396" t="s">
        <v>1586</v>
      </c>
      <c r="G187" s="380" t="s">
        <v>1890</v>
      </c>
      <c r="H187" s="389" t="s">
        <v>2205</v>
      </c>
      <c r="I187" s="380" t="s">
        <v>2835</v>
      </c>
      <c r="J187" s="384" t="s">
        <v>2529</v>
      </c>
      <c r="K187" s="29"/>
    </row>
    <row r="188" spans="2:11">
      <c r="B188" s="30" t="s">
        <v>681</v>
      </c>
      <c r="C188" s="384" t="s">
        <v>150</v>
      </c>
      <c r="D188" s="384" t="s">
        <v>963</v>
      </c>
      <c r="E188" s="370" t="s">
        <v>1277</v>
      </c>
      <c r="F188" s="379" t="s">
        <v>1587</v>
      </c>
      <c r="G188" s="380" t="s">
        <v>1891</v>
      </c>
      <c r="H188" s="379" t="s">
        <v>2206</v>
      </c>
      <c r="I188" s="388" t="s">
        <v>2836</v>
      </c>
      <c r="J188" s="384" t="s">
        <v>2530</v>
      </c>
      <c r="K188" s="29"/>
    </row>
    <row r="189" spans="2:11">
      <c r="B189" s="30" t="s">
        <v>682</v>
      </c>
      <c r="C189" s="384" t="s">
        <v>965</v>
      </c>
      <c r="D189" s="384" t="s">
        <v>966</v>
      </c>
      <c r="E189" s="370" t="s">
        <v>1278</v>
      </c>
      <c r="F189" s="379" t="s">
        <v>1588</v>
      </c>
      <c r="G189" s="380" t="s">
        <v>1892</v>
      </c>
      <c r="H189" s="379" t="s">
        <v>2207</v>
      </c>
      <c r="I189" s="388" t="s">
        <v>2837</v>
      </c>
      <c r="J189" s="384" t="s">
        <v>2531</v>
      </c>
      <c r="K189" s="29"/>
    </row>
    <row r="190" spans="2:11">
      <c r="B190" s="30" t="s">
        <v>683</v>
      </c>
      <c r="C190" s="384" t="s">
        <v>248</v>
      </c>
      <c r="D190" s="384" t="s">
        <v>964</v>
      </c>
      <c r="E190" s="370" t="s">
        <v>1279</v>
      </c>
      <c r="F190" s="379" t="s">
        <v>1589</v>
      </c>
      <c r="G190" s="380" t="s">
        <v>1893</v>
      </c>
      <c r="H190" s="379" t="s">
        <v>2208</v>
      </c>
      <c r="I190" s="388" t="s">
        <v>2838</v>
      </c>
      <c r="J190" s="384" t="s">
        <v>2532</v>
      </c>
      <c r="K190" s="29"/>
    </row>
    <row r="191" spans="2:11">
      <c r="B191" s="30" t="s">
        <v>684</v>
      </c>
      <c r="C191" s="384" t="s">
        <v>145</v>
      </c>
      <c r="D191" s="384" t="s">
        <v>967</v>
      </c>
      <c r="E191" s="370" t="s">
        <v>1280</v>
      </c>
      <c r="F191" s="379" t="s">
        <v>1590</v>
      </c>
      <c r="G191" s="384" t="s">
        <v>1894</v>
      </c>
      <c r="H191" s="379" t="s">
        <v>2209</v>
      </c>
      <c r="I191" s="388" t="s">
        <v>2839</v>
      </c>
      <c r="J191" s="384" t="s">
        <v>2533</v>
      </c>
      <c r="K191" s="29"/>
    </row>
    <row r="192" spans="2:11">
      <c r="B192" s="30" t="s">
        <v>685</v>
      </c>
      <c r="C192" s="384" t="s">
        <v>136</v>
      </c>
      <c r="D192" s="384" t="s">
        <v>968</v>
      </c>
      <c r="E192" s="370" t="s">
        <v>1281</v>
      </c>
      <c r="F192" s="379" t="s">
        <v>1591</v>
      </c>
      <c r="G192" s="380" t="s">
        <v>1895</v>
      </c>
      <c r="H192" s="379" t="s">
        <v>2210</v>
      </c>
      <c r="I192" s="388" t="s">
        <v>2840</v>
      </c>
      <c r="J192" s="384" t="s">
        <v>2534</v>
      </c>
      <c r="K192" s="29"/>
    </row>
    <row r="193" spans="2:11">
      <c r="B193" s="30" t="s">
        <v>716</v>
      </c>
      <c r="C193" s="384" t="s">
        <v>124</v>
      </c>
      <c r="D193" s="384" t="s">
        <v>969</v>
      </c>
      <c r="E193" s="370" t="s">
        <v>1176</v>
      </c>
      <c r="F193" s="379" t="s">
        <v>1592</v>
      </c>
      <c r="G193" s="380" t="s">
        <v>1791</v>
      </c>
      <c r="H193" s="379" t="s">
        <v>2105</v>
      </c>
      <c r="I193" s="388" t="s">
        <v>2841</v>
      </c>
      <c r="J193" s="384" t="s">
        <v>2433</v>
      </c>
      <c r="K193" s="29"/>
    </row>
    <row r="194" spans="2:11">
      <c r="B194" s="30" t="s">
        <v>686</v>
      </c>
      <c r="C194" s="384" t="s">
        <v>123</v>
      </c>
      <c r="D194" s="384" t="s">
        <v>970</v>
      </c>
      <c r="E194" s="370" t="s">
        <v>1282</v>
      </c>
      <c r="F194" s="379" t="s">
        <v>1593</v>
      </c>
      <c r="G194" s="380" t="s">
        <v>1896</v>
      </c>
      <c r="H194" s="379" t="s">
        <v>2211</v>
      </c>
      <c r="I194" s="388" t="s">
        <v>2842</v>
      </c>
      <c r="J194" s="384" t="s">
        <v>2535</v>
      </c>
      <c r="K194" s="29"/>
    </row>
    <row r="195" spans="2:11">
      <c r="B195" s="30" t="s">
        <v>687</v>
      </c>
      <c r="C195" s="384" t="s">
        <v>82</v>
      </c>
      <c r="D195" s="384" t="s">
        <v>918</v>
      </c>
      <c r="E195" s="370" t="s">
        <v>1233</v>
      </c>
      <c r="F195" s="379" t="s">
        <v>1544</v>
      </c>
      <c r="G195" s="384" t="s">
        <v>1848</v>
      </c>
      <c r="H195" s="379" t="s">
        <v>2165</v>
      </c>
      <c r="I195" s="388" t="s">
        <v>2793</v>
      </c>
      <c r="J195" s="384" t="s">
        <v>2488</v>
      </c>
      <c r="K195" s="29"/>
    </row>
    <row r="196" spans="2:11">
      <c r="B196" s="30" t="s">
        <v>688</v>
      </c>
      <c r="C196" s="384" t="s">
        <v>114</v>
      </c>
      <c r="D196" s="384" t="s">
        <v>971</v>
      </c>
      <c r="E196" s="370" t="s">
        <v>1186</v>
      </c>
      <c r="F196" s="379" t="s">
        <v>1594</v>
      </c>
      <c r="G196" s="380" t="s">
        <v>1897</v>
      </c>
      <c r="H196" s="379" t="s">
        <v>2212</v>
      </c>
      <c r="I196" s="384" t="s">
        <v>2843</v>
      </c>
      <c r="J196" s="384" t="s">
        <v>2536</v>
      </c>
      <c r="K196" s="29"/>
    </row>
    <row r="197" spans="2:11">
      <c r="B197" s="30" t="s">
        <v>689</v>
      </c>
      <c r="C197" s="384" t="s">
        <v>251</v>
      </c>
      <c r="D197" s="384" t="s">
        <v>972</v>
      </c>
      <c r="E197" s="370" t="s">
        <v>1283</v>
      </c>
      <c r="F197" s="379" t="s">
        <v>1595</v>
      </c>
      <c r="G197" s="380" t="s">
        <v>1898</v>
      </c>
      <c r="H197" s="379" t="s">
        <v>2213</v>
      </c>
      <c r="I197" s="384" t="s">
        <v>2844</v>
      </c>
      <c r="J197" s="384" t="s">
        <v>2537</v>
      </c>
      <c r="K197" s="29"/>
    </row>
    <row r="198" spans="2:11">
      <c r="B198" s="30" t="s">
        <v>690</v>
      </c>
      <c r="C198" s="384" t="s">
        <v>974</v>
      </c>
      <c r="D198" s="384" t="s">
        <v>973</v>
      </c>
      <c r="E198" s="370" t="s">
        <v>1284</v>
      </c>
      <c r="F198" s="379" t="s">
        <v>1596</v>
      </c>
      <c r="G198" s="380" t="s">
        <v>1899</v>
      </c>
      <c r="H198" s="379" t="s">
        <v>2214</v>
      </c>
      <c r="I198" s="388" t="s">
        <v>2845</v>
      </c>
      <c r="J198" s="384" t="s">
        <v>2538</v>
      </c>
      <c r="K198" s="29"/>
    </row>
    <row r="199" spans="2:11">
      <c r="B199" s="30" t="s">
        <v>691</v>
      </c>
      <c r="C199" s="384" t="s">
        <v>975</v>
      </c>
      <c r="D199" s="384" t="s">
        <v>976</v>
      </c>
      <c r="E199" s="370" t="s">
        <v>1285</v>
      </c>
      <c r="F199" s="379" t="s">
        <v>1597</v>
      </c>
      <c r="G199" s="380" t="s">
        <v>1900</v>
      </c>
      <c r="H199" s="379" t="s">
        <v>2215</v>
      </c>
      <c r="I199" s="388" t="s">
        <v>2846</v>
      </c>
      <c r="J199" s="384" t="s">
        <v>2539</v>
      </c>
      <c r="K199" s="29"/>
    </row>
    <row r="200" spans="2:11">
      <c r="B200" s="30" t="s">
        <v>692</v>
      </c>
      <c r="C200" s="384" t="s">
        <v>70</v>
      </c>
      <c r="D200" s="384" t="s">
        <v>958</v>
      </c>
      <c r="E200" s="370" t="s">
        <v>1273</v>
      </c>
      <c r="F200" s="379" t="s">
        <v>1583</v>
      </c>
      <c r="G200" s="380" t="s">
        <v>1887</v>
      </c>
      <c r="H200" s="379" t="s">
        <v>2202</v>
      </c>
      <c r="I200" s="388" t="s">
        <v>2826</v>
      </c>
      <c r="J200" s="384" t="s">
        <v>2526</v>
      </c>
      <c r="K200" s="29"/>
    </row>
    <row r="201" spans="2:11">
      <c r="B201" s="30" t="s">
        <v>693</v>
      </c>
      <c r="C201" s="384" t="s">
        <v>254</v>
      </c>
      <c r="D201" s="384" t="s">
        <v>977</v>
      </c>
      <c r="E201" s="370" t="s">
        <v>1286</v>
      </c>
      <c r="F201" s="379" t="s">
        <v>1598</v>
      </c>
      <c r="G201" s="380" t="s">
        <v>1901</v>
      </c>
      <c r="H201" s="379" t="s">
        <v>2216</v>
      </c>
      <c r="I201" s="388" t="s">
        <v>2847</v>
      </c>
      <c r="J201" s="384" t="s">
        <v>2540</v>
      </c>
      <c r="K201" s="29"/>
    </row>
    <row r="202" spans="2:11">
      <c r="B202" s="30" t="s">
        <v>694</v>
      </c>
      <c r="C202" s="384" t="s">
        <v>382</v>
      </c>
      <c r="D202" s="384" t="s">
        <v>978</v>
      </c>
      <c r="E202" s="370" t="s">
        <v>1287</v>
      </c>
      <c r="F202" s="379" t="s">
        <v>1599</v>
      </c>
      <c r="G202" s="384" t="s">
        <v>1902</v>
      </c>
      <c r="H202" s="379" t="s">
        <v>2217</v>
      </c>
      <c r="I202" s="388" t="s">
        <v>2848</v>
      </c>
      <c r="J202" s="384" t="s">
        <v>2541</v>
      </c>
      <c r="K202" s="29"/>
    </row>
    <row r="203" spans="2:11">
      <c r="B203" s="30" t="s">
        <v>695</v>
      </c>
      <c r="C203" s="384" t="s">
        <v>383</v>
      </c>
      <c r="D203" s="384" t="s">
        <v>979</v>
      </c>
      <c r="E203" s="370" t="s">
        <v>1288</v>
      </c>
      <c r="F203" s="379" t="s">
        <v>1600</v>
      </c>
      <c r="G203" s="384" t="s">
        <v>1903</v>
      </c>
      <c r="H203" s="379" t="s">
        <v>2218</v>
      </c>
      <c r="I203" s="388" t="s">
        <v>2849</v>
      </c>
      <c r="J203" s="384" t="s">
        <v>2542</v>
      </c>
      <c r="K203" s="29"/>
    </row>
    <row r="204" spans="2:11">
      <c r="B204" s="30" t="s">
        <v>696</v>
      </c>
      <c r="C204" s="384" t="s">
        <v>144</v>
      </c>
      <c r="D204" s="384" t="s">
        <v>980</v>
      </c>
      <c r="E204" s="370" t="s">
        <v>1289</v>
      </c>
      <c r="F204" s="379" t="s">
        <v>1601</v>
      </c>
      <c r="G204" s="380" t="s">
        <v>1904</v>
      </c>
      <c r="H204" s="379" t="s">
        <v>2219</v>
      </c>
      <c r="I204" s="388" t="s">
        <v>2850</v>
      </c>
      <c r="J204" s="384" t="s">
        <v>2543</v>
      </c>
      <c r="K204" s="29"/>
    </row>
    <row r="205" spans="2:11">
      <c r="B205" s="30" t="s">
        <v>697</v>
      </c>
      <c r="C205" s="384" t="s">
        <v>143</v>
      </c>
      <c r="D205" s="384" t="s">
        <v>981</v>
      </c>
      <c r="E205" s="370" t="s">
        <v>1290</v>
      </c>
      <c r="F205" s="379" t="s">
        <v>1602</v>
      </c>
      <c r="G205" s="384" t="s">
        <v>1905</v>
      </c>
      <c r="H205" s="379" t="s">
        <v>2220</v>
      </c>
      <c r="I205" s="388" t="s">
        <v>2851</v>
      </c>
      <c r="J205" s="384" t="s">
        <v>2544</v>
      </c>
      <c r="K205" s="29"/>
    </row>
    <row r="206" spans="2:11">
      <c r="B206" s="30" t="s">
        <v>698</v>
      </c>
      <c r="C206" s="384" t="s">
        <v>142</v>
      </c>
      <c r="D206" s="384" t="s">
        <v>982</v>
      </c>
      <c r="E206" s="370" t="s">
        <v>1291</v>
      </c>
      <c r="F206" s="379" t="s">
        <v>1291</v>
      </c>
      <c r="G206" s="384" t="s">
        <v>1906</v>
      </c>
      <c r="H206" s="379" t="s">
        <v>2221</v>
      </c>
      <c r="I206" s="388" t="s">
        <v>2852</v>
      </c>
      <c r="J206" s="384" t="s">
        <v>2545</v>
      </c>
      <c r="K206" s="29"/>
    </row>
    <row r="207" spans="2:11">
      <c r="B207" s="30" t="s">
        <v>699</v>
      </c>
      <c r="C207" s="384" t="s">
        <v>141</v>
      </c>
      <c r="D207" s="384" t="s">
        <v>983</v>
      </c>
      <c r="E207" s="370" t="s">
        <v>1292</v>
      </c>
      <c r="F207" s="379" t="s">
        <v>1603</v>
      </c>
      <c r="G207" s="384" t="s">
        <v>1907</v>
      </c>
      <c r="H207" s="379" t="s">
        <v>2222</v>
      </c>
      <c r="I207" s="388" t="s">
        <v>2853</v>
      </c>
      <c r="J207" s="384" t="s">
        <v>2546</v>
      </c>
      <c r="K207" s="29"/>
    </row>
    <row r="208" spans="2:11">
      <c r="B208" s="30" t="s">
        <v>700</v>
      </c>
      <c r="C208" s="384" t="s">
        <v>140</v>
      </c>
      <c r="D208" s="384" t="s">
        <v>984</v>
      </c>
      <c r="E208" s="370" t="s">
        <v>1293</v>
      </c>
      <c r="F208" s="379" t="s">
        <v>1604</v>
      </c>
      <c r="G208" s="384" t="s">
        <v>1908</v>
      </c>
      <c r="H208" s="379" t="s">
        <v>2223</v>
      </c>
      <c r="I208" s="388" t="s">
        <v>2854</v>
      </c>
      <c r="J208" s="384" t="s">
        <v>2547</v>
      </c>
      <c r="K208" s="29"/>
    </row>
    <row r="209" spans="2:11">
      <c r="B209" s="30" t="s">
        <v>701</v>
      </c>
      <c r="C209" s="384" t="s">
        <v>139</v>
      </c>
      <c r="D209" s="384" t="s">
        <v>985</v>
      </c>
      <c r="E209" s="370" t="s">
        <v>1294</v>
      </c>
      <c r="F209" s="379" t="s">
        <v>1605</v>
      </c>
      <c r="G209" s="384" t="s">
        <v>1909</v>
      </c>
      <c r="H209" s="379" t="s">
        <v>2224</v>
      </c>
      <c r="I209" s="388" t="s">
        <v>2852</v>
      </c>
      <c r="J209" s="384" t="s">
        <v>2548</v>
      </c>
      <c r="K209" s="29"/>
    </row>
    <row r="210" spans="2:11">
      <c r="B210" s="30" t="s">
        <v>702</v>
      </c>
      <c r="C210" s="384" t="s">
        <v>138</v>
      </c>
      <c r="D210" s="384" t="s">
        <v>986</v>
      </c>
      <c r="E210" s="370" t="s">
        <v>1295</v>
      </c>
      <c r="F210" s="379" t="s">
        <v>1606</v>
      </c>
      <c r="G210" s="384" t="s">
        <v>1910</v>
      </c>
      <c r="H210" s="379" t="s">
        <v>2225</v>
      </c>
      <c r="I210" s="388" t="s">
        <v>2855</v>
      </c>
      <c r="J210" s="384" t="s">
        <v>2549</v>
      </c>
      <c r="K210" s="29"/>
    </row>
    <row r="211" spans="2:11">
      <c r="B211" s="30" t="s">
        <v>703</v>
      </c>
      <c r="C211" s="384" t="s">
        <v>137</v>
      </c>
      <c r="D211" s="384" t="s">
        <v>987</v>
      </c>
      <c r="E211" s="370" t="s">
        <v>1296</v>
      </c>
      <c r="F211" s="379" t="s">
        <v>1607</v>
      </c>
      <c r="G211" s="384" t="s">
        <v>1911</v>
      </c>
      <c r="H211" s="379" t="s">
        <v>2226</v>
      </c>
      <c r="I211" s="388" t="s">
        <v>2856</v>
      </c>
      <c r="J211" s="384" t="s">
        <v>2550</v>
      </c>
      <c r="K211" s="29"/>
    </row>
    <row r="212" spans="2:11">
      <c r="B212" s="30" t="s">
        <v>704</v>
      </c>
      <c r="C212" s="384" t="s">
        <v>135</v>
      </c>
      <c r="D212" s="384" t="s">
        <v>988</v>
      </c>
      <c r="E212" s="370" t="s">
        <v>135</v>
      </c>
      <c r="F212" s="379" t="s">
        <v>1608</v>
      </c>
      <c r="G212" s="384" t="s">
        <v>1912</v>
      </c>
      <c r="H212" s="379" t="s">
        <v>2227</v>
      </c>
      <c r="I212" s="388" t="s">
        <v>2857</v>
      </c>
      <c r="J212" s="384" t="s">
        <v>2551</v>
      </c>
      <c r="K212" s="29"/>
    </row>
    <row r="213" spans="2:11">
      <c r="B213" s="30" t="s">
        <v>705</v>
      </c>
      <c r="C213" s="384" t="s">
        <v>134</v>
      </c>
      <c r="D213" s="384" t="s">
        <v>989</v>
      </c>
      <c r="E213" s="370" t="s">
        <v>1297</v>
      </c>
      <c r="F213" s="379" t="s">
        <v>1609</v>
      </c>
      <c r="G213" s="384" t="s">
        <v>1913</v>
      </c>
      <c r="H213" s="379" t="s">
        <v>2228</v>
      </c>
      <c r="I213" s="388" t="s">
        <v>2858</v>
      </c>
      <c r="J213" s="384" t="s">
        <v>2552</v>
      </c>
      <c r="K213" s="29"/>
    </row>
    <row r="214" spans="2:11">
      <c r="B214" s="30" t="s">
        <v>706</v>
      </c>
      <c r="C214" s="384" t="s">
        <v>133</v>
      </c>
      <c r="D214" s="384" t="s">
        <v>133</v>
      </c>
      <c r="E214" s="370" t="s">
        <v>133</v>
      </c>
      <c r="F214" s="379" t="s">
        <v>1610</v>
      </c>
      <c r="G214" s="384" t="s">
        <v>1914</v>
      </c>
      <c r="H214" s="379" t="s">
        <v>2229</v>
      </c>
      <c r="I214" s="388" t="s">
        <v>2859</v>
      </c>
      <c r="J214" s="384" t="s">
        <v>133</v>
      </c>
      <c r="K214" s="29"/>
    </row>
    <row r="215" spans="2:11">
      <c r="B215" s="30" t="s">
        <v>707</v>
      </c>
      <c r="C215" s="384" t="s">
        <v>94</v>
      </c>
      <c r="D215" s="384" t="s">
        <v>990</v>
      </c>
      <c r="E215" s="370" t="s">
        <v>94</v>
      </c>
      <c r="F215" s="379" t="s">
        <v>1611</v>
      </c>
      <c r="G215" s="384" t="s">
        <v>1915</v>
      </c>
      <c r="H215" s="379" t="s">
        <v>990</v>
      </c>
      <c r="I215" s="388" t="s">
        <v>2860</v>
      </c>
      <c r="J215" s="384" t="s">
        <v>990</v>
      </c>
      <c r="K215" s="29"/>
    </row>
    <row r="216" spans="2:11">
      <c r="B216" s="30" t="s">
        <v>708</v>
      </c>
      <c r="C216" s="384" t="s">
        <v>132</v>
      </c>
      <c r="D216" s="384" t="s">
        <v>991</v>
      </c>
      <c r="E216" s="370" t="s">
        <v>1298</v>
      </c>
      <c r="F216" s="379" t="s">
        <v>1612</v>
      </c>
      <c r="G216" s="384" t="s">
        <v>1916</v>
      </c>
      <c r="H216" s="379" t="s">
        <v>2230</v>
      </c>
      <c r="I216" s="388" t="s">
        <v>2861</v>
      </c>
      <c r="J216" s="384" t="s">
        <v>2553</v>
      </c>
      <c r="K216" s="29"/>
    </row>
    <row r="217" spans="2:11">
      <c r="B217" s="30" t="s">
        <v>709</v>
      </c>
      <c r="C217" s="384" t="s">
        <v>131</v>
      </c>
      <c r="D217" s="384" t="s">
        <v>992</v>
      </c>
      <c r="E217" s="370" t="s">
        <v>1299</v>
      </c>
      <c r="F217" s="379" t="s">
        <v>1613</v>
      </c>
      <c r="G217" s="384" t="s">
        <v>1917</v>
      </c>
      <c r="H217" s="379" t="s">
        <v>2231</v>
      </c>
      <c r="I217" s="388" t="s">
        <v>2862</v>
      </c>
      <c r="J217" s="384" t="s">
        <v>2554</v>
      </c>
      <c r="K217" s="29"/>
    </row>
    <row r="218" spans="2:11">
      <c r="B218" s="30" t="s">
        <v>710</v>
      </c>
      <c r="C218" s="384" t="s">
        <v>130</v>
      </c>
      <c r="D218" s="384" t="s">
        <v>993</v>
      </c>
      <c r="E218" s="370" t="s">
        <v>1300</v>
      </c>
      <c r="F218" s="379" t="s">
        <v>1614</v>
      </c>
      <c r="G218" s="384" t="s">
        <v>1918</v>
      </c>
      <c r="H218" s="379" t="s">
        <v>2232</v>
      </c>
      <c r="I218" s="388" t="s">
        <v>2863</v>
      </c>
      <c r="J218" s="384" t="s">
        <v>2555</v>
      </c>
      <c r="K218" s="29"/>
    </row>
    <row r="219" spans="2:11">
      <c r="B219" s="30" t="s">
        <v>711</v>
      </c>
      <c r="C219" s="384" t="s">
        <v>129</v>
      </c>
      <c r="D219" s="384" t="s">
        <v>994</v>
      </c>
      <c r="E219" s="370" t="s">
        <v>1301</v>
      </c>
      <c r="F219" s="379" t="s">
        <v>1615</v>
      </c>
      <c r="G219" s="384" t="s">
        <v>1919</v>
      </c>
      <c r="H219" s="379" t="s">
        <v>2233</v>
      </c>
      <c r="I219" s="388" t="s">
        <v>2864</v>
      </c>
      <c r="J219" s="384" t="s">
        <v>2556</v>
      </c>
      <c r="K219" s="29"/>
    </row>
    <row r="220" spans="2:11">
      <c r="B220" s="30" t="s">
        <v>712</v>
      </c>
      <c r="C220" s="384" t="s">
        <v>128</v>
      </c>
      <c r="D220" s="384" t="s">
        <v>995</v>
      </c>
      <c r="E220" s="370" t="s">
        <v>1302</v>
      </c>
      <c r="F220" s="379" t="s">
        <v>1616</v>
      </c>
      <c r="G220" s="384" t="s">
        <v>1920</v>
      </c>
      <c r="H220" s="379" t="s">
        <v>2234</v>
      </c>
      <c r="I220" s="388" t="s">
        <v>2865</v>
      </c>
      <c r="J220" s="384" t="s">
        <v>2557</v>
      </c>
      <c r="K220" s="29"/>
    </row>
    <row r="221" spans="2:11">
      <c r="B221" s="30" t="s">
        <v>713</v>
      </c>
      <c r="C221" s="384" t="s">
        <v>127</v>
      </c>
      <c r="D221" s="384" t="s">
        <v>996</v>
      </c>
      <c r="E221" s="370" t="s">
        <v>1303</v>
      </c>
      <c r="F221" s="379" t="s">
        <v>1617</v>
      </c>
      <c r="G221" s="384" t="s">
        <v>1921</v>
      </c>
      <c r="H221" s="379" t="s">
        <v>2235</v>
      </c>
      <c r="I221" s="388" t="s">
        <v>2866</v>
      </c>
      <c r="J221" s="384" t="s">
        <v>2558</v>
      </c>
      <c r="K221" s="29"/>
    </row>
    <row r="222" spans="2:11">
      <c r="B222" s="30" t="s">
        <v>714</v>
      </c>
      <c r="C222" s="384" t="s">
        <v>126</v>
      </c>
      <c r="D222" s="384" t="s">
        <v>997</v>
      </c>
      <c r="E222" s="370" t="s">
        <v>1304</v>
      </c>
      <c r="F222" s="379" t="s">
        <v>1304</v>
      </c>
      <c r="G222" s="384" t="s">
        <v>1922</v>
      </c>
      <c r="H222" s="379" t="s">
        <v>2236</v>
      </c>
      <c r="I222" s="388" t="s">
        <v>2867</v>
      </c>
      <c r="J222" s="384" t="s">
        <v>2559</v>
      </c>
      <c r="K222" s="29"/>
    </row>
    <row r="223" spans="2:11">
      <c r="B223" s="30" t="s">
        <v>715</v>
      </c>
      <c r="C223" s="384" t="s">
        <v>125</v>
      </c>
      <c r="D223" s="384" t="s">
        <v>998</v>
      </c>
      <c r="E223" s="370" t="s">
        <v>1305</v>
      </c>
      <c r="F223" s="379" t="s">
        <v>1618</v>
      </c>
      <c r="G223" s="384" t="s">
        <v>1923</v>
      </c>
      <c r="H223" s="379" t="s">
        <v>2237</v>
      </c>
      <c r="I223" s="388" t="s">
        <v>2868</v>
      </c>
      <c r="J223" s="384" t="s">
        <v>2560</v>
      </c>
      <c r="K223" s="29"/>
    </row>
    <row r="224" spans="2:11">
      <c r="B224" s="30" t="s">
        <v>717</v>
      </c>
      <c r="C224" s="384" t="s">
        <v>93</v>
      </c>
      <c r="D224" s="384" t="s">
        <v>999</v>
      </c>
      <c r="E224" s="370" t="s">
        <v>1306</v>
      </c>
      <c r="F224" s="379" t="s">
        <v>1619</v>
      </c>
      <c r="G224" s="380" t="s">
        <v>1924</v>
      </c>
      <c r="H224" s="379" t="s">
        <v>2238</v>
      </c>
      <c r="I224" s="388" t="s">
        <v>2869</v>
      </c>
      <c r="J224" s="384" t="s">
        <v>2561</v>
      </c>
      <c r="K224" s="29"/>
    </row>
    <row r="225" spans="2:11">
      <c r="B225" s="30" t="s">
        <v>718</v>
      </c>
      <c r="C225" s="384" t="s">
        <v>92</v>
      </c>
      <c r="D225" s="384" t="s">
        <v>1000</v>
      </c>
      <c r="E225" s="370" t="s">
        <v>1307</v>
      </c>
      <c r="F225" s="379" t="s">
        <v>1620</v>
      </c>
      <c r="G225" s="380" t="s">
        <v>1925</v>
      </c>
      <c r="H225" s="379" t="s">
        <v>2239</v>
      </c>
      <c r="I225" s="388" t="s">
        <v>2870</v>
      </c>
      <c r="J225" s="384" t="s">
        <v>2562</v>
      </c>
      <c r="K225" s="29"/>
    </row>
    <row r="226" spans="2:11">
      <c r="B226" s="30" t="s">
        <v>719</v>
      </c>
      <c r="C226" s="384" t="s">
        <v>91</v>
      </c>
      <c r="D226" s="380" t="s">
        <v>1001</v>
      </c>
      <c r="E226" s="370" t="s">
        <v>1308</v>
      </c>
      <c r="F226" s="379" t="s">
        <v>1621</v>
      </c>
      <c r="G226" s="380" t="s">
        <v>1926</v>
      </c>
      <c r="H226" s="379" t="s">
        <v>2240</v>
      </c>
      <c r="I226" s="388" t="s">
        <v>2871</v>
      </c>
      <c r="J226" s="384" t="s">
        <v>2563</v>
      </c>
      <c r="K226" s="29"/>
    </row>
    <row r="227" spans="2:11">
      <c r="B227" s="30" t="s">
        <v>720</v>
      </c>
      <c r="C227" s="384" t="s">
        <v>86</v>
      </c>
      <c r="D227" s="384" t="s">
        <v>1002</v>
      </c>
      <c r="E227" s="370" t="s">
        <v>1309</v>
      </c>
      <c r="F227" s="379" t="s">
        <v>1622</v>
      </c>
      <c r="G227" s="380" t="s">
        <v>1927</v>
      </c>
      <c r="H227" s="379" t="s">
        <v>2241</v>
      </c>
      <c r="I227" s="388" t="s">
        <v>2872</v>
      </c>
      <c r="J227" s="384" t="s">
        <v>2564</v>
      </c>
      <c r="K227" s="29"/>
    </row>
    <row r="228" spans="2:11">
      <c r="B228" s="30" t="s">
        <v>721</v>
      </c>
      <c r="C228" s="384" t="s">
        <v>122</v>
      </c>
      <c r="D228" s="384" t="s">
        <v>1003</v>
      </c>
      <c r="E228" s="370" t="s">
        <v>1310</v>
      </c>
      <c r="F228" s="379" t="s">
        <v>1623</v>
      </c>
      <c r="G228" s="380" t="s">
        <v>1928</v>
      </c>
      <c r="H228" s="379" t="s">
        <v>2242</v>
      </c>
      <c r="I228" s="388" t="s">
        <v>2873</v>
      </c>
      <c r="J228" s="384" t="s">
        <v>2565</v>
      </c>
      <c r="K228" s="29"/>
    </row>
    <row r="229" spans="2:11">
      <c r="B229" s="30" t="s">
        <v>722</v>
      </c>
      <c r="C229" s="384" t="s">
        <v>121</v>
      </c>
      <c r="D229" s="384" t="s">
        <v>1004</v>
      </c>
      <c r="E229" s="370" t="s">
        <v>1311</v>
      </c>
      <c r="F229" s="379" t="s">
        <v>1624</v>
      </c>
      <c r="G229" s="380" t="s">
        <v>1929</v>
      </c>
      <c r="H229" s="379" t="s">
        <v>2243</v>
      </c>
      <c r="I229" s="388" t="s">
        <v>2874</v>
      </c>
      <c r="J229" s="384" t="s">
        <v>2566</v>
      </c>
      <c r="K229" s="29"/>
    </row>
    <row r="230" spans="2:11">
      <c r="B230" s="30" t="s">
        <v>723</v>
      </c>
      <c r="C230" s="384" t="s">
        <v>120</v>
      </c>
      <c r="D230" s="384" t="s">
        <v>1005</v>
      </c>
      <c r="E230" s="370" t="s">
        <v>1312</v>
      </c>
      <c r="F230" s="379" t="s">
        <v>1625</v>
      </c>
      <c r="G230" s="380" t="s">
        <v>1930</v>
      </c>
      <c r="H230" s="379" t="s">
        <v>2244</v>
      </c>
      <c r="I230" s="388" t="s">
        <v>2875</v>
      </c>
      <c r="J230" s="384" t="s">
        <v>2567</v>
      </c>
      <c r="K230" s="29"/>
    </row>
    <row r="231" spans="2:11">
      <c r="B231" s="30" t="s">
        <v>724</v>
      </c>
      <c r="C231" s="384" t="s">
        <v>252</v>
      </c>
      <c r="D231" s="384" t="s">
        <v>1006</v>
      </c>
      <c r="E231" s="370" t="s">
        <v>1313</v>
      </c>
      <c r="F231" s="379" t="s">
        <v>1626</v>
      </c>
      <c r="G231" s="380" t="s">
        <v>1931</v>
      </c>
      <c r="H231" s="379" t="s">
        <v>2245</v>
      </c>
      <c r="I231" s="388" t="s">
        <v>2876</v>
      </c>
      <c r="J231" s="384" t="s">
        <v>2568</v>
      </c>
      <c r="K231" s="29"/>
    </row>
    <row r="232" spans="2:11">
      <c r="B232" s="30" t="s">
        <v>725</v>
      </c>
      <c r="C232" s="384" t="s">
        <v>119</v>
      </c>
      <c r="D232" s="384" t="s">
        <v>1007</v>
      </c>
      <c r="E232" s="370" t="s">
        <v>1314</v>
      </c>
      <c r="F232" s="379" t="s">
        <v>1627</v>
      </c>
      <c r="G232" s="380" t="s">
        <v>1932</v>
      </c>
      <c r="H232" s="379" t="s">
        <v>2246</v>
      </c>
      <c r="I232" s="388" t="s">
        <v>2877</v>
      </c>
      <c r="J232" s="384" t="s">
        <v>2569</v>
      </c>
      <c r="K232" s="29"/>
    </row>
    <row r="233" spans="2:11">
      <c r="B233" s="30" t="s">
        <v>726</v>
      </c>
      <c r="C233" s="384" t="s">
        <v>118</v>
      </c>
      <c r="D233" s="384" t="s">
        <v>1008</v>
      </c>
      <c r="E233" s="370" t="s">
        <v>1315</v>
      </c>
      <c r="F233" s="379" t="s">
        <v>1628</v>
      </c>
      <c r="G233" s="380" t="s">
        <v>1933</v>
      </c>
      <c r="H233" s="379" t="s">
        <v>2247</v>
      </c>
      <c r="I233" s="388" t="s">
        <v>2878</v>
      </c>
      <c r="J233" s="384" t="s">
        <v>2570</v>
      </c>
      <c r="K233" s="29"/>
    </row>
    <row r="234" spans="2:11">
      <c r="B234" s="30" t="s">
        <v>727</v>
      </c>
      <c r="C234" s="384" t="s">
        <v>117</v>
      </c>
      <c r="D234" s="384" t="s">
        <v>1009</v>
      </c>
      <c r="E234" s="370" t="s">
        <v>1316</v>
      </c>
      <c r="F234" s="379" t="s">
        <v>1629</v>
      </c>
      <c r="G234" s="380" t="s">
        <v>1934</v>
      </c>
      <c r="H234" s="379" t="s">
        <v>2248</v>
      </c>
      <c r="I234" s="388" t="s">
        <v>2879</v>
      </c>
      <c r="J234" s="384" t="s">
        <v>2571</v>
      </c>
      <c r="K234" s="29"/>
    </row>
    <row r="235" spans="2:11">
      <c r="B235" s="30" t="s">
        <v>728</v>
      </c>
      <c r="C235" s="384" t="s">
        <v>116</v>
      </c>
      <c r="D235" s="384" t="s">
        <v>1010</v>
      </c>
      <c r="E235" s="370" t="s">
        <v>1317</v>
      </c>
      <c r="F235" s="379" t="s">
        <v>1630</v>
      </c>
      <c r="G235" s="380" t="s">
        <v>1935</v>
      </c>
      <c r="H235" s="379" t="s">
        <v>2249</v>
      </c>
      <c r="I235" s="388" t="s">
        <v>2880</v>
      </c>
      <c r="J235" s="384" t="s">
        <v>2572</v>
      </c>
      <c r="K235" s="29"/>
    </row>
    <row r="236" spans="2:11">
      <c r="B236" s="30" t="s">
        <v>729</v>
      </c>
      <c r="C236" s="384" t="s">
        <v>90</v>
      </c>
      <c r="D236" s="384" t="s">
        <v>1011</v>
      </c>
      <c r="E236" s="370" t="s">
        <v>1318</v>
      </c>
      <c r="F236" s="379" t="s">
        <v>1631</v>
      </c>
      <c r="G236" s="380" t="s">
        <v>1936</v>
      </c>
      <c r="H236" s="379" t="s">
        <v>2250</v>
      </c>
      <c r="I236" s="388" t="s">
        <v>2881</v>
      </c>
      <c r="J236" s="384" t="s">
        <v>2573</v>
      </c>
      <c r="K236" s="29"/>
    </row>
    <row r="237" spans="2:11" ht="30">
      <c r="B237" s="30" t="s">
        <v>730</v>
      </c>
      <c r="C237" s="384" t="s">
        <v>115</v>
      </c>
      <c r="D237" s="384" t="s">
        <v>1012</v>
      </c>
      <c r="E237" s="370" t="s">
        <v>1319</v>
      </c>
      <c r="F237" s="379" t="s">
        <v>1632</v>
      </c>
      <c r="G237" s="380" t="s">
        <v>1937</v>
      </c>
      <c r="H237" s="379" t="s">
        <v>2251</v>
      </c>
      <c r="I237" s="388" t="s">
        <v>2882</v>
      </c>
      <c r="J237" s="384" t="s">
        <v>2574</v>
      </c>
      <c r="K237" s="29"/>
    </row>
    <row r="238" spans="2:11">
      <c r="B238" s="30" t="s">
        <v>731</v>
      </c>
      <c r="C238" s="384" t="s">
        <v>171</v>
      </c>
      <c r="D238" s="384" t="s">
        <v>1013</v>
      </c>
      <c r="E238" s="370" t="s">
        <v>1320</v>
      </c>
      <c r="F238" s="379" t="s">
        <v>1633</v>
      </c>
      <c r="G238" s="380" t="s">
        <v>1938</v>
      </c>
      <c r="H238" s="379" t="s">
        <v>2252</v>
      </c>
      <c r="I238" s="388" t="s">
        <v>2883</v>
      </c>
      <c r="J238" s="384" t="s">
        <v>2575</v>
      </c>
      <c r="K238" s="29"/>
    </row>
    <row r="239" spans="2:11">
      <c r="B239" s="30" t="s">
        <v>732</v>
      </c>
      <c r="C239" s="384" t="s">
        <v>250</v>
      </c>
      <c r="D239" s="384" t="s">
        <v>1014</v>
      </c>
      <c r="E239" s="370" t="s">
        <v>1321</v>
      </c>
      <c r="F239" s="379" t="s">
        <v>1634</v>
      </c>
      <c r="G239" s="384" t="s">
        <v>1939</v>
      </c>
      <c r="H239" s="379" t="s">
        <v>2253</v>
      </c>
      <c r="I239" s="388" t="s">
        <v>2884</v>
      </c>
      <c r="J239" s="384" t="s">
        <v>2576</v>
      </c>
      <c r="K239" s="29"/>
    </row>
    <row r="240" spans="2:11">
      <c r="B240" s="30" t="s">
        <v>733</v>
      </c>
      <c r="C240" s="384" t="s">
        <v>386</v>
      </c>
      <c r="D240" s="384" t="s">
        <v>1015</v>
      </c>
      <c r="E240" s="370" t="s">
        <v>1322</v>
      </c>
      <c r="F240" s="379" t="s">
        <v>1635</v>
      </c>
      <c r="G240" s="380" t="s">
        <v>1940</v>
      </c>
      <c r="H240" s="379" t="s">
        <v>2254</v>
      </c>
      <c r="I240" s="388" t="s">
        <v>2885</v>
      </c>
      <c r="J240" s="384" t="s">
        <v>2577</v>
      </c>
      <c r="K240" s="29"/>
    </row>
    <row r="241" spans="2:11">
      <c r="B241" s="30" t="s">
        <v>734</v>
      </c>
      <c r="C241" s="384" t="s">
        <v>384</v>
      </c>
      <c r="D241" s="384" t="s">
        <v>384</v>
      </c>
      <c r="E241" s="370" t="s">
        <v>384</v>
      </c>
      <c r="F241" s="379" t="s">
        <v>1636</v>
      </c>
      <c r="G241" s="384" t="s">
        <v>384</v>
      </c>
      <c r="H241" s="379" t="s">
        <v>384</v>
      </c>
      <c r="I241" s="388" t="s">
        <v>2886</v>
      </c>
      <c r="J241" s="384" t="s">
        <v>2578</v>
      </c>
      <c r="K241" s="29"/>
    </row>
    <row r="242" spans="2:11">
      <c r="B242" s="30" t="s">
        <v>735</v>
      </c>
      <c r="C242" s="384" t="s">
        <v>74</v>
      </c>
      <c r="D242" s="384" t="s">
        <v>1016</v>
      </c>
      <c r="E242" s="370" t="s">
        <v>1323</v>
      </c>
      <c r="F242" s="379" t="s">
        <v>1637</v>
      </c>
      <c r="G242" s="380" t="s">
        <v>1941</v>
      </c>
      <c r="H242" s="379" t="s">
        <v>2255</v>
      </c>
      <c r="I242" s="388" t="s">
        <v>2887</v>
      </c>
      <c r="J242" s="384" t="s">
        <v>2579</v>
      </c>
      <c r="K242" s="29"/>
    </row>
    <row r="243" spans="2:11">
      <c r="B243" s="30" t="s">
        <v>736</v>
      </c>
      <c r="C243" s="384" t="s">
        <v>385</v>
      </c>
      <c r="D243" s="384" t="s">
        <v>1017</v>
      </c>
      <c r="E243" s="370" t="s">
        <v>1324</v>
      </c>
      <c r="F243" s="379" t="s">
        <v>1638</v>
      </c>
      <c r="G243" s="380" t="s">
        <v>1942</v>
      </c>
      <c r="H243" s="379" t="s">
        <v>2256</v>
      </c>
      <c r="I243" s="388" t="s">
        <v>2888</v>
      </c>
      <c r="J243" s="384" t="s">
        <v>2580</v>
      </c>
      <c r="K243" s="29"/>
    </row>
    <row r="244" spans="2:11">
      <c r="B244" s="30" t="s">
        <v>737</v>
      </c>
      <c r="C244" s="384" t="s">
        <v>73</v>
      </c>
      <c r="D244" s="384" t="s">
        <v>1018</v>
      </c>
      <c r="E244" s="370" t="s">
        <v>73</v>
      </c>
      <c r="F244" s="379" t="s">
        <v>1018</v>
      </c>
      <c r="G244" s="384" t="s">
        <v>73</v>
      </c>
      <c r="H244" s="379" t="s">
        <v>73</v>
      </c>
      <c r="I244" s="388" t="s">
        <v>2889</v>
      </c>
      <c r="J244" s="384" t="s">
        <v>2581</v>
      </c>
      <c r="K244" s="29"/>
    </row>
    <row r="245" spans="2:11">
      <c r="B245" s="30" t="s">
        <v>738</v>
      </c>
      <c r="C245" s="384" t="s">
        <v>72</v>
      </c>
      <c r="D245" s="384" t="s">
        <v>1019</v>
      </c>
      <c r="E245" s="370" t="s">
        <v>1325</v>
      </c>
      <c r="F245" s="379" t="s">
        <v>1639</v>
      </c>
      <c r="G245" s="380" t="s">
        <v>1943</v>
      </c>
      <c r="H245" s="379" t="s">
        <v>2257</v>
      </c>
      <c r="I245" s="388" t="s">
        <v>2890</v>
      </c>
      <c r="J245" s="384" t="s">
        <v>2582</v>
      </c>
      <c r="K245" s="29"/>
    </row>
    <row r="246" spans="2:11">
      <c r="B246" s="30" t="s">
        <v>739</v>
      </c>
      <c r="C246" s="384" t="s">
        <v>71</v>
      </c>
      <c r="D246" s="384" t="s">
        <v>957</v>
      </c>
      <c r="E246" s="370" t="s">
        <v>1272</v>
      </c>
      <c r="F246" s="379" t="s">
        <v>1582</v>
      </c>
      <c r="G246" s="380" t="s">
        <v>1886</v>
      </c>
      <c r="H246" s="379" t="s">
        <v>2201</v>
      </c>
      <c r="I246" s="388" t="s">
        <v>2891</v>
      </c>
      <c r="J246" s="384" t="s">
        <v>2583</v>
      </c>
      <c r="K246" s="29"/>
    </row>
    <row r="247" spans="2:11">
      <c r="B247" s="30" t="s">
        <v>740</v>
      </c>
      <c r="C247" s="384" t="s">
        <v>113</v>
      </c>
      <c r="D247" s="384" t="s">
        <v>1020</v>
      </c>
      <c r="E247" s="370" t="s">
        <v>1326</v>
      </c>
      <c r="F247" s="379" t="s">
        <v>1640</v>
      </c>
      <c r="G247" s="380" t="s">
        <v>1944</v>
      </c>
      <c r="H247" s="379" t="s">
        <v>2258</v>
      </c>
      <c r="I247" s="388" t="s">
        <v>2892</v>
      </c>
      <c r="J247" s="384" t="s">
        <v>2584</v>
      </c>
      <c r="K247" s="29"/>
    </row>
    <row r="248" spans="2:11">
      <c r="B248" s="30" t="s">
        <v>741</v>
      </c>
      <c r="C248" s="384" t="s">
        <v>89</v>
      </c>
      <c r="D248" s="384" t="s">
        <v>1021</v>
      </c>
      <c r="E248" s="370" t="s">
        <v>1327</v>
      </c>
      <c r="F248" s="379" t="s">
        <v>1641</v>
      </c>
      <c r="G248" s="380" t="s">
        <v>1945</v>
      </c>
      <c r="H248" s="379" t="s">
        <v>2259</v>
      </c>
      <c r="I248" s="388" t="s">
        <v>2893</v>
      </c>
      <c r="J248" s="384" t="s">
        <v>2585</v>
      </c>
      <c r="K248" s="29"/>
    </row>
    <row r="249" spans="2:11">
      <c r="B249" s="30" t="s">
        <v>742</v>
      </c>
      <c r="C249" s="384" t="s">
        <v>112</v>
      </c>
      <c r="D249" s="384" t="s">
        <v>1022</v>
      </c>
      <c r="E249" s="370" t="s">
        <v>1328</v>
      </c>
      <c r="F249" s="379" t="s">
        <v>1642</v>
      </c>
      <c r="G249" s="380" t="s">
        <v>1946</v>
      </c>
      <c r="H249" s="379" t="s">
        <v>2260</v>
      </c>
      <c r="I249" s="388" t="s">
        <v>2894</v>
      </c>
      <c r="J249" s="384" t="s">
        <v>2586</v>
      </c>
      <c r="K249" s="29"/>
    </row>
    <row r="250" spans="2:11">
      <c r="B250" s="30" t="s">
        <v>743</v>
      </c>
      <c r="C250" s="384" t="s">
        <v>149</v>
      </c>
      <c r="D250" s="384" t="s">
        <v>576</v>
      </c>
      <c r="E250" s="370" t="s">
        <v>1177</v>
      </c>
      <c r="F250" s="379" t="s">
        <v>1488</v>
      </c>
      <c r="G250" s="380" t="s">
        <v>1792</v>
      </c>
      <c r="H250" s="379" t="s">
        <v>2106</v>
      </c>
      <c r="I250" s="388" t="s">
        <v>2738</v>
      </c>
      <c r="J250" s="384" t="s">
        <v>2587</v>
      </c>
      <c r="K250" s="29"/>
    </row>
    <row r="251" spans="2:11">
      <c r="B251" s="30" t="s">
        <v>744</v>
      </c>
      <c r="C251" s="384" t="s">
        <v>65</v>
      </c>
      <c r="D251" s="384" t="s">
        <v>587</v>
      </c>
      <c r="E251" s="370" t="s">
        <v>1194</v>
      </c>
      <c r="F251" s="379" t="s">
        <v>1505</v>
      </c>
      <c r="G251" s="380" t="s">
        <v>1809</v>
      </c>
      <c r="H251" s="379" t="s">
        <v>2123</v>
      </c>
      <c r="I251" s="388" t="s">
        <v>2755</v>
      </c>
      <c r="J251" s="384" t="s">
        <v>2451</v>
      </c>
      <c r="K251" s="29"/>
    </row>
    <row r="252" spans="2:11">
      <c r="B252" s="30" t="s">
        <v>745</v>
      </c>
      <c r="C252" s="384" t="s">
        <v>148</v>
      </c>
      <c r="D252" s="384" t="s">
        <v>148</v>
      </c>
      <c r="E252" s="370" t="s">
        <v>148</v>
      </c>
      <c r="F252" s="379" t="s">
        <v>148</v>
      </c>
      <c r="G252" s="384" t="s">
        <v>148</v>
      </c>
      <c r="H252" s="379" t="s">
        <v>2153</v>
      </c>
      <c r="I252" s="388" t="s">
        <v>148</v>
      </c>
      <c r="J252" s="384" t="s">
        <v>148</v>
      </c>
      <c r="K252" s="29"/>
    </row>
    <row r="253" spans="2:11">
      <c r="B253" s="30" t="s">
        <v>746</v>
      </c>
      <c r="C253" s="384" t="s">
        <v>147</v>
      </c>
      <c r="D253" s="384" t="s">
        <v>591</v>
      </c>
      <c r="E253" s="370" t="s">
        <v>147</v>
      </c>
      <c r="F253" s="379" t="s">
        <v>147</v>
      </c>
      <c r="G253" s="384" t="s">
        <v>147</v>
      </c>
      <c r="H253" s="379" t="s">
        <v>2159</v>
      </c>
      <c r="I253" s="388" t="s">
        <v>147</v>
      </c>
      <c r="J253" s="384" t="s">
        <v>147</v>
      </c>
      <c r="K253" s="29"/>
    </row>
    <row r="254" spans="2:11">
      <c r="B254" s="30" t="s">
        <v>747</v>
      </c>
      <c r="C254" s="384" t="s">
        <v>146</v>
      </c>
      <c r="D254" s="384" t="s">
        <v>146</v>
      </c>
      <c r="E254" s="370" t="s">
        <v>146</v>
      </c>
      <c r="F254" s="379" t="s">
        <v>146</v>
      </c>
      <c r="G254" s="384" t="s">
        <v>146</v>
      </c>
      <c r="H254" s="379" t="s">
        <v>146</v>
      </c>
      <c r="I254" s="388" t="s">
        <v>146</v>
      </c>
      <c r="J254" s="384" t="s">
        <v>146</v>
      </c>
      <c r="K254" s="29"/>
    </row>
    <row r="255" spans="2:11">
      <c r="B255" s="30" t="s">
        <v>748</v>
      </c>
      <c r="C255" s="384" t="s">
        <v>381</v>
      </c>
      <c r="D255" s="384" t="s">
        <v>1023</v>
      </c>
      <c r="E255" s="370" t="s">
        <v>1329</v>
      </c>
      <c r="F255" s="379" t="s">
        <v>1643</v>
      </c>
      <c r="G255" s="380" t="s">
        <v>1947</v>
      </c>
      <c r="H255" s="379" t="s">
        <v>2261</v>
      </c>
      <c r="I255" s="388" t="s">
        <v>2895</v>
      </c>
      <c r="J255" s="384" t="s">
        <v>2588</v>
      </c>
      <c r="K255" s="29"/>
    </row>
    <row r="256" spans="2:11">
      <c r="B256" s="30" t="s">
        <v>749</v>
      </c>
      <c r="C256" s="384" t="s">
        <v>246</v>
      </c>
      <c r="D256" s="384" t="s">
        <v>1024</v>
      </c>
      <c r="E256" s="370" t="s">
        <v>1330</v>
      </c>
      <c r="F256" s="379" t="s">
        <v>1644</v>
      </c>
      <c r="G256" s="380" t="s">
        <v>1948</v>
      </c>
      <c r="H256" s="379" t="s">
        <v>2262</v>
      </c>
      <c r="I256" s="388" t="s">
        <v>2896</v>
      </c>
      <c r="J256" s="384" t="s">
        <v>2589</v>
      </c>
      <c r="K256" s="29"/>
    </row>
    <row r="257" spans="2:11">
      <c r="B257" s="356" t="s">
        <v>752</v>
      </c>
      <c r="C257" s="384" t="s">
        <v>601</v>
      </c>
      <c r="D257" s="384" t="s">
        <v>1025</v>
      </c>
      <c r="E257" s="370" t="s">
        <v>1331</v>
      </c>
      <c r="F257" s="379" t="s">
        <v>1645</v>
      </c>
      <c r="G257" s="380" t="s">
        <v>1949</v>
      </c>
      <c r="H257" s="379" t="s">
        <v>2263</v>
      </c>
      <c r="I257" s="390" t="s">
        <v>2897</v>
      </c>
      <c r="J257" s="384" t="s">
        <v>2590</v>
      </c>
      <c r="K257" s="29"/>
    </row>
    <row r="258" spans="2:11" ht="30">
      <c r="B258" s="356" t="s">
        <v>753</v>
      </c>
      <c r="C258" s="384" t="s">
        <v>64</v>
      </c>
      <c r="D258" s="384" t="s">
        <v>1026</v>
      </c>
      <c r="E258" s="370" t="s">
        <v>1332</v>
      </c>
      <c r="F258" s="389" t="s">
        <v>1646</v>
      </c>
      <c r="G258" s="380" t="s">
        <v>1950</v>
      </c>
      <c r="H258" s="389" t="s">
        <v>2264</v>
      </c>
      <c r="I258" s="383" t="s">
        <v>2898</v>
      </c>
      <c r="J258" s="384" t="s">
        <v>2591</v>
      </c>
      <c r="K258" s="29"/>
    </row>
    <row r="259" spans="2:11">
      <c r="B259" s="356" t="s">
        <v>754</v>
      </c>
      <c r="C259" s="384" t="s">
        <v>49</v>
      </c>
      <c r="D259" s="384" t="s">
        <v>1027</v>
      </c>
      <c r="E259" s="370" t="s">
        <v>1333</v>
      </c>
      <c r="F259" s="379" t="s">
        <v>1647</v>
      </c>
      <c r="G259" s="380" t="s">
        <v>1951</v>
      </c>
      <c r="H259" s="379" t="s">
        <v>1027</v>
      </c>
      <c r="I259" s="388" t="s">
        <v>2899</v>
      </c>
      <c r="J259" s="384" t="s">
        <v>1647</v>
      </c>
      <c r="K259" s="29"/>
    </row>
    <row r="260" spans="2:11">
      <c r="B260" s="356" t="s">
        <v>755</v>
      </c>
      <c r="C260" s="384" t="s">
        <v>48</v>
      </c>
      <c r="D260" s="384" t="s">
        <v>1028</v>
      </c>
      <c r="E260" s="370" t="s">
        <v>1334</v>
      </c>
      <c r="F260" s="379" t="s">
        <v>1648</v>
      </c>
      <c r="G260" s="384" t="s">
        <v>1952</v>
      </c>
      <c r="H260" s="379" t="s">
        <v>2265</v>
      </c>
      <c r="I260" s="388" t="s">
        <v>2900</v>
      </c>
      <c r="J260" s="384" t="s">
        <v>2592</v>
      </c>
      <c r="K260" s="29"/>
    </row>
    <row r="261" spans="2:11">
      <c r="B261" s="356" t="s">
        <v>756</v>
      </c>
      <c r="C261" s="384" t="s">
        <v>47</v>
      </c>
      <c r="D261" s="384" t="s">
        <v>1029</v>
      </c>
      <c r="E261" s="370" t="s">
        <v>1335</v>
      </c>
      <c r="F261" s="379" t="s">
        <v>1649</v>
      </c>
      <c r="G261" s="384" t="s">
        <v>1953</v>
      </c>
      <c r="H261" s="379" t="s">
        <v>2266</v>
      </c>
      <c r="I261" s="388" t="s">
        <v>2901</v>
      </c>
      <c r="J261" s="384" t="s">
        <v>2593</v>
      </c>
      <c r="K261" s="29"/>
    </row>
    <row r="262" spans="2:11">
      <c r="B262" s="356" t="s">
        <v>757</v>
      </c>
      <c r="C262" s="384" t="s">
        <v>172</v>
      </c>
      <c r="D262" s="384" t="s">
        <v>1030</v>
      </c>
      <c r="E262" s="370" t="s">
        <v>1336</v>
      </c>
      <c r="F262" s="379" t="s">
        <v>1650</v>
      </c>
      <c r="G262" s="384" t="s">
        <v>1954</v>
      </c>
      <c r="H262" s="379" t="s">
        <v>2267</v>
      </c>
      <c r="I262" s="388" t="s">
        <v>2902</v>
      </c>
      <c r="J262" s="384" t="s">
        <v>2594</v>
      </c>
      <c r="K262" s="29"/>
    </row>
    <row r="263" spans="2:11">
      <c r="B263" s="356" t="s">
        <v>758</v>
      </c>
      <c r="C263" s="384" t="s">
        <v>70</v>
      </c>
      <c r="D263" s="384" t="s">
        <v>855</v>
      </c>
      <c r="E263" s="370" t="s">
        <v>1273</v>
      </c>
      <c r="F263" s="379" t="s">
        <v>1583</v>
      </c>
      <c r="G263" s="380" t="s">
        <v>1887</v>
      </c>
      <c r="H263" s="379" t="s">
        <v>2202</v>
      </c>
      <c r="I263" s="388" t="s">
        <v>2903</v>
      </c>
      <c r="J263" s="384" t="s">
        <v>2526</v>
      </c>
      <c r="K263" s="29"/>
    </row>
    <row r="264" spans="2:11">
      <c r="B264" s="356" t="s">
        <v>759</v>
      </c>
      <c r="C264" s="384" t="s">
        <v>245</v>
      </c>
      <c r="D264" s="384" t="s">
        <v>1031</v>
      </c>
      <c r="E264" s="370" t="s">
        <v>1337</v>
      </c>
      <c r="F264" s="379" t="s">
        <v>1651</v>
      </c>
      <c r="G264" s="380" t="s">
        <v>1955</v>
      </c>
      <c r="H264" s="379" t="s">
        <v>2268</v>
      </c>
      <c r="I264" s="388" t="s">
        <v>2904</v>
      </c>
      <c r="J264" s="384" t="s">
        <v>2595</v>
      </c>
      <c r="K264" s="29"/>
    </row>
    <row r="265" spans="2:11">
      <c r="B265" s="356" t="s">
        <v>760</v>
      </c>
      <c r="C265" s="384" t="s">
        <v>244</v>
      </c>
      <c r="D265" s="384" t="s">
        <v>1032</v>
      </c>
      <c r="E265" s="370" t="s">
        <v>1338</v>
      </c>
      <c r="F265" s="379" t="s">
        <v>1652</v>
      </c>
      <c r="G265" s="380" t="s">
        <v>1956</v>
      </c>
      <c r="H265" s="379" t="s">
        <v>2269</v>
      </c>
      <c r="I265" s="388" t="s">
        <v>2714</v>
      </c>
      <c r="J265" s="384" t="s">
        <v>2596</v>
      </c>
      <c r="K265" s="29"/>
    </row>
    <row r="266" spans="2:11">
      <c r="B266" s="356" t="s">
        <v>761</v>
      </c>
      <c r="C266" s="384" t="s">
        <v>2</v>
      </c>
      <c r="D266" s="384" t="s">
        <v>1033</v>
      </c>
      <c r="E266" s="370" t="s">
        <v>2</v>
      </c>
      <c r="F266" s="379" t="s">
        <v>2</v>
      </c>
      <c r="G266" s="384" t="s">
        <v>1957</v>
      </c>
      <c r="H266" s="379" t="s">
        <v>2270</v>
      </c>
      <c r="I266" s="388" t="s">
        <v>2905</v>
      </c>
      <c r="J266" s="384" t="s">
        <v>2597</v>
      </c>
      <c r="K266" s="29"/>
    </row>
    <row r="267" spans="2:11">
      <c r="B267" s="356" t="s">
        <v>762</v>
      </c>
      <c r="C267" s="384" t="s">
        <v>1</v>
      </c>
      <c r="D267" s="384" t="s">
        <v>1034</v>
      </c>
      <c r="E267" s="370" t="s">
        <v>1339</v>
      </c>
      <c r="F267" s="379" t="s">
        <v>1653</v>
      </c>
      <c r="G267" s="384" t="s">
        <v>1958</v>
      </c>
      <c r="H267" s="379" t="s">
        <v>2271</v>
      </c>
      <c r="I267" s="388" t="s">
        <v>2906</v>
      </c>
      <c r="J267" s="384" t="s">
        <v>2598</v>
      </c>
      <c r="K267" s="29"/>
    </row>
    <row r="268" spans="2:11">
      <c r="B268" s="356" t="s">
        <v>763</v>
      </c>
      <c r="C268" s="384" t="s">
        <v>83</v>
      </c>
      <c r="D268" s="384" t="s">
        <v>855</v>
      </c>
      <c r="E268" s="41" t="s">
        <v>1167</v>
      </c>
      <c r="F268" s="379" t="s">
        <v>1167</v>
      </c>
      <c r="G268" s="380" t="s">
        <v>1782</v>
      </c>
      <c r="H268" s="379" t="s">
        <v>2196</v>
      </c>
      <c r="I268" s="388" t="s">
        <v>2826</v>
      </c>
      <c r="J268" s="384" t="s">
        <v>83</v>
      </c>
      <c r="K268" s="29"/>
    </row>
    <row r="269" spans="2:11">
      <c r="B269" s="356" t="s">
        <v>764</v>
      </c>
      <c r="C269" s="41" t="s">
        <v>107</v>
      </c>
      <c r="D269" s="384" t="s">
        <v>1035</v>
      </c>
      <c r="E269" s="41" t="s">
        <v>1340</v>
      </c>
      <c r="F269" s="379" t="s">
        <v>1654</v>
      </c>
      <c r="G269" s="380" t="s">
        <v>1959</v>
      </c>
      <c r="H269" s="379" t="s">
        <v>2272</v>
      </c>
      <c r="I269" s="388" t="s">
        <v>2907</v>
      </c>
      <c r="J269" s="41" t="s">
        <v>2599</v>
      </c>
      <c r="K269" s="29"/>
    </row>
    <row r="270" spans="2:11">
      <c r="B270" s="356" t="s">
        <v>820</v>
      </c>
      <c r="C270" s="41" t="s">
        <v>109</v>
      </c>
      <c r="D270" s="384" t="s">
        <v>1036</v>
      </c>
      <c r="E270" s="41" t="s">
        <v>1341</v>
      </c>
      <c r="F270" s="379" t="s">
        <v>1655</v>
      </c>
      <c r="G270" s="384" t="s">
        <v>1960</v>
      </c>
      <c r="H270" s="379" t="s">
        <v>2273</v>
      </c>
      <c r="I270" s="388" t="s">
        <v>2908</v>
      </c>
      <c r="J270" s="41" t="s">
        <v>2600</v>
      </c>
      <c r="K270" s="29"/>
    </row>
    <row r="271" spans="2:11">
      <c r="B271" s="356" t="s">
        <v>765</v>
      </c>
      <c r="C271" s="41" t="s">
        <v>108</v>
      </c>
      <c r="D271" s="384" t="s">
        <v>108</v>
      </c>
      <c r="E271" s="41" t="s">
        <v>1342</v>
      </c>
      <c r="F271" s="379" t="s">
        <v>108</v>
      </c>
      <c r="G271" s="380" t="s">
        <v>1961</v>
      </c>
      <c r="H271" s="379" t="s">
        <v>2274</v>
      </c>
      <c r="I271" s="388" t="s">
        <v>2909</v>
      </c>
      <c r="J271" s="41" t="s">
        <v>108</v>
      </c>
      <c r="K271" s="29"/>
    </row>
    <row r="272" spans="2:11">
      <c r="B272" s="356" t="s">
        <v>766</v>
      </c>
      <c r="C272" s="41" t="s">
        <v>95</v>
      </c>
      <c r="D272" s="384" t="s">
        <v>95</v>
      </c>
      <c r="E272" s="370" t="s">
        <v>1343</v>
      </c>
      <c r="F272" s="379" t="s">
        <v>95</v>
      </c>
      <c r="G272" s="380" t="s">
        <v>1962</v>
      </c>
      <c r="H272" s="379" t="s">
        <v>2275</v>
      </c>
      <c r="I272" s="388" t="s">
        <v>2910</v>
      </c>
      <c r="J272" s="41" t="s">
        <v>95</v>
      </c>
      <c r="K272" s="29"/>
    </row>
    <row r="273" spans="2:11">
      <c r="B273" s="356" t="s">
        <v>774</v>
      </c>
      <c r="C273" s="384" t="s">
        <v>169</v>
      </c>
      <c r="D273" s="384" t="s">
        <v>836</v>
      </c>
      <c r="E273" s="370" t="s">
        <v>1151</v>
      </c>
      <c r="F273" s="379" t="s">
        <v>1463</v>
      </c>
      <c r="G273" s="380" t="s">
        <v>1766</v>
      </c>
      <c r="H273" s="379" t="s">
        <v>2276</v>
      </c>
      <c r="I273" s="388" t="s">
        <v>2712</v>
      </c>
      <c r="J273" s="384" t="s">
        <v>2410</v>
      </c>
      <c r="K273" s="29"/>
    </row>
    <row r="274" spans="2:11">
      <c r="B274" s="356" t="s">
        <v>768</v>
      </c>
      <c r="C274" s="384" t="s">
        <v>166</v>
      </c>
      <c r="D274" s="384" t="s">
        <v>1037</v>
      </c>
      <c r="E274" s="370" t="s">
        <v>1344</v>
      </c>
      <c r="F274" s="379" t="s">
        <v>1656</v>
      </c>
      <c r="G274" s="380" t="s">
        <v>1963</v>
      </c>
      <c r="H274" s="379" t="s">
        <v>2277</v>
      </c>
      <c r="I274" s="388" t="s">
        <v>2911</v>
      </c>
      <c r="J274" s="384" t="s">
        <v>2601</v>
      </c>
      <c r="K274" s="29"/>
    </row>
    <row r="275" spans="2:11">
      <c r="B275" s="356" t="s">
        <v>769</v>
      </c>
      <c r="C275" s="384" t="s">
        <v>163</v>
      </c>
      <c r="D275" s="384" t="s">
        <v>1038</v>
      </c>
      <c r="E275" s="370" t="s">
        <v>1345</v>
      </c>
      <c r="F275" s="379" t="s">
        <v>1657</v>
      </c>
      <c r="G275" s="384" t="s">
        <v>1964</v>
      </c>
      <c r="H275" s="379" t="s">
        <v>2278</v>
      </c>
      <c r="I275" s="388" t="s">
        <v>163</v>
      </c>
      <c r="J275" s="384" t="s">
        <v>2602</v>
      </c>
      <c r="K275" s="29"/>
    </row>
    <row r="276" spans="2:11">
      <c r="B276" s="356" t="s">
        <v>770</v>
      </c>
      <c r="C276" s="384" t="s">
        <v>160</v>
      </c>
      <c r="D276" s="384" t="s">
        <v>1039</v>
      </c>
      <c r="E276" s="370" t="s">
        <v>1346</v>
      </c>
      <c r="F276" s="379" t="s">
        <v>1658</v>
      </c>
      <c r="G276" s="384" t="s">
        <v>1965</v>
      </c>
      <c r="H276" s="379" t="s">
        <v>2279</v>
      </c>
      <c r="I276" s="388" t="s">
        <v>2912</v>
      </c>
      <c r="J276" s="384" t="s">
        <v>2603</v>
      </c>
      <c r="K276" s="29"/>
    </row>
    <row r="277" spans="2:11">
      <c r="B277" s="356" t="s">
        <v>771</v>
      </c>
      <c r="C277" s="384" t="s">
        <v>168</v>
      </c>
      <c r="D277" s="384" t="s">
        <v>1040</v>
      </c>
      <c r="E277" s="370" t="s">
        <v>1347</v>
      </c>
      <c r="F277" s="379" t="s">
        <v>1659</v>
      </c>
      <c r="G277" s="384" t="s">
        <v>1966</v>
      </c>
      <c r="H277" s="379" t="s">
        <v>2280</v>
      </c>
      <c r="I277" s="388" t="s">
        <v>2913</v>
      </c>
      <c r="J277" s="384" t="s">
        <v>2604</v>
      </c>
      <c r="K277" s="29"/>
    </row>
    <row r="278" spans="2:11">
      <c r="B278" s="356" t="s">
        <v>772</v>
      </c>
      <c r="C278" s="384" t="s">
        <v>157</v>
      </c>
      <c r="D278" s="384" t="s">
        <v>1041</v>
      </c>
      <c r="E278" s="370" t="s">
        <v>1348</v>
      </c>
      <c r="F278" s="379" t="s">
        <v>1348</v>
      </c>
      <c r="G278" s="384" t="s">
        <v>1967</v>
      </c>
      <c r="H278" s="379" t="s">
        <v>2281</v>
      </c>
      <c r="I278" s="388" t="s">
        <v>2914</v>
      </c>
      <c r="J278" s="384" t="s">
        <v>1348</v>
      </c>
      <c r="K278" s="29"/>
    </row>
    <row r="279" spans="2:11">
      <c r="B279" s="356" t="s">
        <v>773</v>
      </c>
      <c r="C279" s="384" t="s">
        <v>240</v>
      </c>
      <c r="D279" s="384" t="s">
        <v>1042</v>
      </c>
      <c r="E279" s="370" t="s">
        <v>1349</v>
      </c>
      <c r="F279" s="379" t="s">
        <v>1660</v>
      </c>
      <c r="G279" s="380" t="s">
        <v>1968</v>
      </c>
      <c r="H279" s="379" t="s">
        <v>2282</v>
      </c>
      <c r="I279" s="388" t="s">
        <v>2915</v>
      </c>
      <c r="J279" s="384" t="s">
        <v>2605</v>
      </c>
      <c r="K279" s="29"/>
    </row>
    <row r="280" spans="2:11">
      <c r="B280" s="356" t="s">
        <v>778</v>
      </c>
      <c r="C280" s="384" t="s">
        <v>234</v>
      </c>
      <c r="D280" s="384" t="s">
        <v>837</v>
      </c>
      <c r="E280" s="370" t="s">
        <v>1350</v>
      </c>
      <c r="F280" s="379" t="s">
        <v>1661</v>
      </c>
      <c r="G280" s="380" t="s">
        <v>1969</v>
      </c>
      <c r="H280" s="379" t="s">
        <v>2283</v>
      </c>
      <c r="I280" s="388" t="s">
        <v>2916</v>
      </c>
      <c r="J280" s="384" t="s">
        <v>2606</v>
      </c>
      <c r="K280" s="29"/>
    </row>
    <row r="281" spans="2:11">
      <c r="B281" s="356" t="s">
        <v>779</v>
      </c>
      <c r="C281" s="384" t="s">
        <v>165</v>
      </c>
      <c r="D281" s="384" t="s">
        <v>1043</v>
      </c>
      <c r="E281" s="370" t="s">
        <v>1351</v>
      </c>
      <c r="F281" s="379" t="s">
        <v>1351</v>
      </c>
      <c r="G281" s="380" t="s">
        <v>1970</v>
      </c>
      <c r="H281" s="379" t="s">
        <v>2284</v>
      </c>
      <c r="I281" s="388" t="s">
        <v>2917</v>
      </c>
      <c r="J281" s="384" t="s">
        <v>2607</v>
      </c>
      <c r="K281" s="29"/>
    </row>
    <row r="282" spans="2:11">
      <c r="B282" s="356" t="s">
        <v>780</v>
      </c>
      <c r="C282" s="384" t="s">
        <v>143</v>
      </c>
      <c r="D282" s="384" t="s">
        <v>981</v>
      </c>
      <c r="E282" s="370" t="s">
        <v>1290</v>
      </c>
      <c r="F282" s="379" t="s">
        <v>1602</v>
      </c>
      <c r="G282" s="384" t="s">
        <v>1905</v>
      </c>
      <c r="H282" s="379" t="s">
        <v>2220</v>
      </c>
      <c r="I282" s="388" t="s">
        <v>2851</v>
      </c>
      <c r="J282" s="384" t="s">
        <v>2544</v>
      </c>
      <c r="K282" s="29"/>
    </row>
    <row r="283" spans="2:11">
      <c r="B283" s="356" t="s">
        <v>781</v>
      </c>
      <c r="C283" s="384" t="s">
        <v>164</v>
      </c>
      <c r="D283" s="384" t="s">
        <v>980</v>
      </c>
      <c r="E283" s="370" t="s">
        <v>1352</v>
      </c>
      <c r="F283" s="379" t="s">
        <v>1601</v>
      </c>
      <c r="G283" s="380" t="s">
        <v>1971</v>
      </c>
      <c r="H283" s="379" t="s">
        <v>2219</v>
      </c>
      <c r="I283" s="388" t="s">
        <v>2918</v>
      </c>
      <c r="J283" s="384" t="s">
        <v>2543</v>
      </c>
      <c r="K283" s="29"/>
    </row>
    <row r="284" spans="2:11">
      <c r="B284" s="356" t="s">
        <v>784</v>
      </c>
      <c r="C284" s="384" t="s">
        <v>138</v>
      </c>
      <c r="D284" s="384" t="s">
        <v>986</v>
      </c>
      <c r="E284" s="370" t="s">
        <v>1295</v>
      </c>
      <c r="F284" s="379" t="s">
        <v>1606</v>
      </c>
      <c r="G284" s="380" t="s">
        <v>1972</v>
      </c>
      <c r="H284" s="379" t="s">
        <v>2225</v>
      </c>
      <c r="I284" s="388" t="s">
        <v>2855</v>
      </c>
      <c r="J284" s="384" t="s">
        <v>2608</v>
      </c>
      <c r="K284" s="29"/>
    </row>
    <row r="285" spans="2:11">
      <c r="B285" s="356" t="s">
        <v>822</v>
      </c>
      <c r="C285" s="384" t="s">
        <v>162</v>
      </c>
      <c r="D285" s="384" t="s">
        <v>1044</v>
      </c>
      <c r="E285" s="370" t="s">
        <v>1296</v>
      </c>
      <c r="F285" s="379" t="s">
        <v>1662</v>
      </c>
      <c r="G285" s="384" t="s">
        <v>1973</v>
      </c>
      <c r="H285" s="379" t="s">
        <v>2285</v>
      </c>
      <c r="I285" s="388" t="s">
        <v>2919</v>
      </c>
      <c r="J285" s="384" t="s">
        <v>2609</v>
      </c>
      <c r="K285" s="29"/>
    </row>
    <row r="286" spans="2:11">
      <c r="B286" s="356" t="s">
        <v>821</v>
      </c>
      <c r="C286" s="384" t="s">
        <v>161</v>
      </c>
      <c r="D286" s="384" t="s">
        <v>1045</v>
      </c>
      <c r="E286" s="370" t="s">
        <v>1353</v>
      </c>
      <c r="F286" s="379" t="s">
        <v>1663</v>
      </c>
      <c r="G286" s="380" t="s">
        <v>1974</v>
      </c>
      <c r="H286" s="379" t="s">
        <v>2286</v>
      </c>
      <c r="I286" s="388" t="s">
        <v>2920</v>
      </c>
      <c r="J286" s="384" t="s">
        <v>2610</v>
      </c>
      <c r="K286" s="29"/>
    </row>
    <row r="287" spans="2:11">
      <c r="B287" s="356" t="s">
        <v>785</v>
      </c>
      <c r="C287" s="384" t="s">
        <v>159</v>
      </c>
      <c r="D287" s="384" t="s">
        <v>1046</v>
      </c>
      <c r="E287" s="370" t="s">
        <v>1354</v>
      </c>
      <c r="F287" s="379" t="s">
        <v>1664</v>
      </c>
      <c r="G287" s="380" t="s">
        <v>1975</v>
      </c>
      <c r="H287" s="379" t="s">
        <v>2287</v>
      </c>
      <c r="I287" s="388" t="s">
        <v>2921</v>
      </c>
      <c r="J287" s="384" t="s">
        <v>2611</v>
      </c>
      <c r="K287" s="29"/>
    </row>
    <row r="288" spans="2:11">
      <c r="B288" s="356" t="s">
        <v>787</v>
      </c>
      <c r="C288" s="384" t="s">
        <v>96</v>
      </c>
      <c r="D288" s="384" t="s">
        <v>1047</v>
      </c>
      <c r="E288" s="370" t="s">
        <v>1355</v>
      </c>
      <c r="F288" s="379" t="s">
        <v>1355</v>
      </c>
      <c r="G288" s="384" t="s">
        <v>1976</v>
      </c>
      <c r="H288" s="379" t="s">
        <v>2288</v>
      </c>
      <c r="I288" s="388" t="s">
        <v>2922</v>
      </c>
      <c r="J288" s="384" t="s">
        <v>2612</v>
      </c>
      <c r="K288" s="29"/>
    </row>
    <row r="289" spans="2:11">
      <c r="B289" s="356" t="s">
        <v>786</v>
      </c>
      <c r="C289" s="384" t="s">
        <v>158</v>
      </c>
      <c r="D289" s="384" t="s">
        <v>1048</v>
      </c>
      <c r="E289" s="370" t="s">
        <v>1356</v>
      </c>
      <c r="F289" s="379" t="s">
        <v>1665</v>
      </c>
      <c r="G289" s="384" t="s">
        <v>1977</v>
      </c>
      <c r="H289" s="379" t="s">
        <v>2289</v>
      </c>
      <c r="I289" s="388" t="s">
        <v>2923</v>
      </c>
      <c r="J289" s="384" t="s">
        <v>2613</v>
      </c>
      <c r="K289" s="29"/>
    </row>
    <row r="290" spans="2:11">
      <c r="B290" s="356" t="s">
        <v>782</v>
      </c>
      <c r="C290" s="384" t="s">
        <v>156</v>
      </c>
      <c r="D290" s="384" t="s">
        <v>1049</v>
      </c>
      <c r="E290" s="370" t="s">
        <v>1357</v>
      </c>
      <c r="F290" s="379" t="s">
        <v>1666</v>
      </c>
      <c r="G290" s="384" t="s">
        <v>1978</v>
      </c>
      <c r="H290" s="379" t="s">
        <v>2290</v>
      </c>
      <c r="I290" s="388" t="s">
        <v>2924</v>
      </c>
      <c r="J290" s="384" t="s">
        <v>2614</v>
      </c>
      <c r="K290" s="29"/>
    </row>
    <row r="291" spans="2:11">
      <c r="B291" s="356" t="s">
        <v>788</v>
      </c>
      <c r="C291" s="384" t="s">
        <v>1050</v>
      </c>
      <c r="D291" s="384" t="s">
        <v>1051</v>
      </c>
      <c r="E291" s="370" t="s">
        <v>1358</v>
      </c>
      <c r="F291" s="379" t="s">
        <v>1667</v>
      </c>
      <c r="G291" s="380" t="s">
        <v>1979</v>
      </c>
      <c r="H291" s="379" t="s">
        <v>2291</v>
      </c>
      <c r="I291" s="388" t="s">
        <v>2925</v>
      </c>
      <c r="J291" s="384" t="s">
        <v>2615</v>
      </c>
      <c r="K291" s="29"/>
    </row>
    <row r="292" spans="2:11">
      <c r="B292" s="356" t="s">
        <v>775</v>
      </c>
      <c r="C292" s="384" t="s">
        <v>155</v>
      </c>
      <c r="D292" s="384" t="s">
        <v>1052</v>
      </c>
      <c r="E292" s="370" t="s">
        <v>1359</v>
      </c>
      <c r="F292" s="379" t="s">
        <v>1668</v>
      </c>
      <c r="G292" s="384" t="s">
        <v>1980</v>
      </c>
      <c r="H292" s="379" t="s">
        <v>2292</v>
      </c>
      <c r="I292" s="388" t="s">
        <v>2926</v>
      </c>
      <c r="J292" s="384" t="s">
        <v>2616</v>
      </c>
      <c r="K292" s="29"/>
    </row>
    <row r="293" spans="2:11">
      <c r="B293" s="356" t="s">
        <v>776</v>
      </c>
      <c r="C293" s="384" t="s">
        <v>140</v>
      </c>
      <c r="D293" s="384" t="s">
        <v>984</v>
      </c>
      <c r="E293" s="370" t="s">
        <v>1293</v>
      </c>
      <c r="F293" s="379" t="s">
        <v>1604</v>
      </c>
      <c r="G293" s="384" t="s">
        <v>1908</v>
      </c>
      <c r="H293" s="379" t="s">
        <v>2223</v>
      </c>
      <c r="I293" s="388" t="s">
        <v>2854</v>
      </c>
      <c r="J293" s="384" t="s">
        <v>2547</v>
      </c>
      <c r="K293" s="29"/>
    </row>
    <row r="294" spans="2:11">
      <c r="B294" s="356" t="s">
        <v>777</v>
      </c>
      <c r="C294" s="384" t="s">
        <v>329</v>
      </c>
      <c r="D294" s="384" t="s">
        <v>1053</v>
      </c>
      <c r="E294" s="370" t="s">
        <v>1360</v>
      </c>
      <c r="F294" s="379" t="s">
        <v>1669</v>
      </c>
      <c r="G294" s="384" t="s">
        <v>1981</v>
      </c>
      <c r="H294" s="379" t="s">
        <v>2293</v>
      </c>
      <c r="I294" s="388" t="s">
        <v>2927</v>
      </c>
      <c r="J294" s="384" t="s">
        <v>2617</v>
      </c>
      <c r="K294" s="29"/>
    </row>
    <row r="295" spans="2:11" ht="17.25">
      <c r="B295" s="356" t="s">
        <v>791</v>
      </c>
      <c r="C295" s="384" t="s">
        <v>789</v>
      </c>
      <c r="D295" s="384" t="s">
        <v>1054</v>
      </c>
      <c r="E295" s="370" t="s">
        <v>1361</v>
      </c>
      <c r="F295" s="379" t="s">
        <v>1670</v>
      </c>
      <c r="G295" s="380" t="s">
        <v>1982</v>
      </c>
      <c r="H295" s="379" t="s">
        <v>2294</v>
      </c>
      <c r="I295" s="388" t="s">
        <v>2928</v>
      </c>
      <c r="J295" s="384" t="s">
        <v>2618</v>
      </c>
      <c r="K295" s="29"/>
    </row>
    <row r="296" spans="2:11" ht="17.25">
      <c r="B296" s="356" t="s">
        <v>792</v>
      </c>
      <c r="C296" s="384" t="s">
        <v>790</v>
      </c>
      <c r="D296" s="384" t="s">
        <v>1055</v>
      </c>
      <c r="E296" s="370" t="s">
        <v>1362</v>
      </c>
      <c r="F296" s="379" t="s">
        <v>1671</v>
      </c>
      <c r="G296" s="380" t="s">
        <v>1983</v>
      </c>
      <c r="H296" s="379" t="s">
        <v>2295</v>
      </c>
      <c r="I296" s="388" t="s">
        <v>2929</v>
      </c>
      <c r="J296" s="384" t="s">
        <v>2619</v>
      </c>
      <c r="K296" s="29"/>
    </row>
    <row r="297" spans="2:11">
      <c r="B297" s="356" t="s">
        <v>803</v>
      </c>
      <c r="C297" s="384" t="s">
        <v>259</v>
      </c>
      <c r="D297" s="384" t="s">
        <v>1056</v>
      </c>
      <c r="E297" s="370" t="s">
        <v>1363</v>
      </c>
      <c r="F297" s="379" t="s">
        <v>1672</v>
      </c>
      <c r="G297" s="380" t="s">
        <v>1984</v>
      </c>
      <c r="H297" s="379" t="s">
        <v>2296</v>
      </c>
      <c r="I297" s="388" t="s">
        <v>2930</v>
      </c>
      <c r="J297" s="384" t="s">
        <v>2620</v>
      </c>
      <c r="K297" s="29"/>
    </row>
    <row r="298" spans="2:11">
      <c r="B298" s="356" t="s">
        <v>767</v>
      </c>
      <c r="C298" s="384" t="s">
        <v>150</v>
      </c>
      <c r="D298" s="384" t="s">
        <v>963</v>
      </c>
      <c r="E298" s="370" t="s">
        <v>1277</v>
      </c>
      <c r="F298" s="379" t="s">
        <v>1587</v>
      </c>
      <c r="G298" s="380" t="s">
        <v>1891</v>
      </c>
      <c r="H298" s="379" t="s">
        <v>2206</v>
      </c>
      <c r="I298" s="388" t="s">
        <v>2836</v>
      </c>
      <c r="J298" s="384" t="s">
        <v>2621</v>
      </c>
      <c r="K298" s="29"/>
    </row>
    <row r="299" spans="2:11">
      <c r="B299" s="356" t="s">
        <v>794</v>
      </c>
      <c r="C299" s="384" t="s">
        <v>1057</v>
      </c>
      <c r="D299" s="384" t="s">
        <v>1058</v>
      </c>
      <c r="E299" s="370" t="s">
        <v>1364</v>
      </c>
      <c r="F299" s="379" t="s">
        <v>1673</v>
      </c>
      <c r="G299" s="384" t="s">
        <v>1985</v>
      </c>
      <c r="H299" s="379" t="s">
        <v>2297</v>
      </c>
      <c r="I299" s="388" t="s">
        <v>2931</v>
      </c>
      <c r="J299" s="384" t="s">
        <v>2622</v>
      </c>
      <c r="K299" s="29"/>
    </row>
    <row r="300" spans="2:11">
      <c r="B300" s="356" t="s">
        <v>795</v>
      </c>
      <c r="C300" s="384" t="s">
        <v>151</v>
      </c>
      <c r="D300" s="384" t="s">
        <v>1059</v>
      </c>
      <c r="E300" s="370" t="s">
        <v>1365</v>
      </c>
      <c r="F300" s="379" t="s">
        <v>1674</v>
      </c>
      <c r="G300" s="380" t="s">
        <v>1986</v>
      </c>
      <c r="H300" s="379" t="s">
        <v>2298</v>
      </c>
      <c r="I300" s="388" t="s">
        <v>2932</v>
      </c>
      <c r="J300" s="384" t="s">
        <v>2623</v>
      </c>
      <c r="K300" s="29"/>
    </row>
    <row r="301" spans="2:11">
      <c r="B301" s="356" t="s">
        <v>783</v>
      </c>
      <c r="C301" s="384" t="s">
        <v>254</v>
      </c>
      <c r="D301" s="384" t="s">
        <v>977</v>
      </c>
      <c r="E301" s="370" t="s">
        <v>1286</v>
      </c>
      <c r="F301" s="379" t="s">
        <v>1598</v>
      </c>
      <c r="G301" s="380" t="s">
        <v>1901</v>
      </c>
      <c r="H301" s="379" t="s">
        <v>2216</v>
      </c>
      <c r="I301" s="388" t="s">
        <v>2933</v>
      </c>
      <c r="J301" s="384" t="s">
        <v>2540</v>
      </c>
      <c r="K301" s="29"/>
    </row>
    <row r="302" spans="2:11">
      <c r="B302" s="356" t="s">
        <v>796</v>
      </c>
      <c r="C302" s="384" t="s">
        <v>382</v>
      </c>
      <c r="D302" s="384" t="s">
        <v>978</v>
      </c>
      <c r="E302" s="370" t="s">
        <v>1366</v>
      </c>
      <c r="F302" s="379" t="s">
        <v>1675</v>
      </c>
      <c r="G302" s="384" t="s">
        <v>1987</v>
      </c>
      <c r="H302" s="379" t="s">
        <v>2217</v>
      </c>
      <c r="I302" s="388" t="s">
        <v>2848</v>
      </c>
      <c r="J302" s="384" t="s">
        <v>2541</v>
      </c>
      <c r="K302" s="29"/>
    </row>
    <row r="303" spans="2:11">
      <c r="B303" s="356" t="s">
        <v>797</v>
      </c>
      <c r="C303" s="384" t="s">
        <v>383</v>
      </c>
      <c r="D303" s="384" t="s">
        <v>1060</v>
      </c>
      <c r="E303" s="370" t="s">
        <v>1288</v>
      </c>
      <c r="F303" s="379" t="s">
        <v>1600</v>
      </c>
      <c r="G303" s="384" t="s">
        <v>1903</v>
      </c>
      <c r="H303" s="379" t="s">
        <v>2299</v>
      </c>
      <c r="I303" s="388" t="s">
        <v>2934</v>
      </c>
      <c r="J303" s="384" t="s">
        <v>2542</v>
      </c>
      <c r="K303" s="29"/>
    </row>
    <row r="304" spans="2:11">
      <c r="B304" s="356" t="s">
        <v>798</v>
      </c>
      <c r="C304" s="384" t="s">
        <v>384</v>
      </c>
      <c r="D304" s="384" t="s">
        <v>384</v>
      </c>
      <c r="E304" s="370" t="s">
        <v>384</v>
      </c>
      <c r="F304" s="379" t="s">
        <v>384</v>
      </c>
      <c r="G304" s="384" t="s">
        <v>384</v>
      </c>
      <c r="H304" s="379" t="s">
        <v>384</v>
      </c>
      <c r="I304" s="388" t="s">
        <v>2886</v>
      </c>
      <c r="J304" s="384" t="s">
        <v>2578</v>
      </c>
      <c r="K304" s="29"/>
    </row>
    <row r="305" spans="2:11">
      <c r="B305" s="356" t="s">
        <v>800</v>
      </c>
      <c r="C305" s="384" t="s">
        <v>255</v>
      </c>
      <c r="D305" s="384" t="s">
        <v>1061</v>
      </c>
      <c r="E305" s="370" t="s">
        <v>1367</v>
      </c>
      <c r="F305" s="379" t="s">
        <v>1676</v>
      </c>
      <c r="G305" s="380" t="s">
        <v>1988</v>
      </c>
      <c r="H305" s="379" t="s">
        <v>255</v>
      </c>
      <c r="I305" s="388" t="s">
        <v>2935</v>
      </c>
      <c r="J305" s="384" t="s">
        <v>2624</v>
      </c>
      <c r="K305" s="29"/>
    </row>
    <row r="306" spans="2:11">
      <c r="B306" s="356" t="s">
        <v>801</v>
      </c>
      <c r="C306" s="384" t="s">
        <v>152</v>
      </c>
      <c r="D306" s="384" t="s">
        <v>1062</v>
      </c>
      <c r="E306" s="370" t="s">
        <v>1368</v>
      </c>
      <c r="F306" s="379" t="s">
        <v>1677</v>
      </c>
      <c r="G306" s="380" t="s">
        <v>1989</v>
      </c>
      <c r="H306" s="379" t="s">
        <v>2300</v>
      </c>
      <c r="I306" s="388" t="s">
        <v>2936</v>
      </c>
      <c r="J306" s="384" t="s">
        <v>2625</v>
      </c>
      <c r="K306" s="29"/>
    </row>
    <row r="307" spans="2:11">
      <c r="B307" s="356" t="s">
        <v>802</v>
      </c>
      <c r="C307" s="384" t="s">
        <v>799</v>
      </c>
      <c r="D307" s="384" t="s">
        <v>1063</v>
      </c>
      <c r="E307" s="370" t="s">
        <v>1369</v>
      </c>
      <c r="F307" s="379" t="s">
        <v>1678</v>
      </c>
      <c r="G307" s="380" t="s">
        <v>1990</v>
      </c>
      <c r="H307" s="379" t="s">
        <v>2301</v>
      </c>
      <c r="I307" s="388" t="s">
        <v>2937</v>
      </c>
      <c r="J307" s="384" t="s">
        <v>2626</v>
      </c>
      <c r="K307" s="29"/>
    </row>
    <row r="308" spans="2:11">
      <c r="B308" s="356" t="s">
        <v>804</v>
      </c>
      <c r="C308" s="384" t="s">
        <v>258</v>
      </c>
      <c r="D308" s="384" t="s">
        <v>1064</v>
      </c>
      <c r="E308" s="370" t="s">
        <v>1370</v>
      </c>
      <c r="F308" s="379" t="s">
        <v>1679</v>
      </c>
      <c r="G308" s="380" t="s">
        <v>1991</v>
      </c>
      <c r="H308" s="379" t="s">
        <v>2302</v>
      </c>
      <c r="I308" s="388" t="s">
        <v>2938</v>
      </c>
      <c r="J308" s="384" t="s">
        <v>2627</v>
      </c>
      <c r="K308" s="29"/>
    </row>
    <row r="309" spans="2:11">
      <c r="B309" s="356" t="s">
        <v>805</v>
      </c>
      <c r="C309" s="384" t="s">
        <v>154</v>
      </c>
      <c r="D309" s="384" t="s">
        <v>1065</v>
      </c>
      <c r="E309" s="370" t="s">
        <v>1371</v>
      </c>
      <c r="F309" s="379" t="s">
        <v>1680</v>
      </c>
      <c r="G309" s="380" t="s">
        <v>1992</v>
      </c>
      <c r="H309" s="379" t="s">
        <v>2303</v>
      </c>
      <c r="I309" s="388" t="s">
        <v>2939</v>
      </c>
      <c r="J309" s="384" t="s">
        <v>2628</v>
      </c>
      <c r="K309" s="29"/>
    </row>
    <row r="310" spans="2:11">
      <c r="B310" s="356" t="s">
        <v>806</v>
      </c>
      <c r="C310" s="384" t="s">
        <v>0</v>
      </c>
      <c r="D310" s="384" t="s">
        <v>1066</v>
      </c>
      <c r="E310" s="370" t="s">
        <v>1372</v>
      </c>
      <c r="F310" s="379" t="s">
        <v>1372</v>
      </c>
      <c r="G310" s="380" t="s">
        <v>1993</v>
      </c>
      <c r="H310" s="379" t="s">
        <v>2304</v>
      </c>
      <c r="I310" s="388" t="s">
        <v>2940</v>
      </c>
      <c r="J310" s="384" t="s">
        <v>2629</v>
      </c>
      <c r="K310" s="29"/>
    </row>
    <row r="311" spans="2:11">
      <c r="B311" s="356" t="s">
        <v>823</v>
      </c>
      <c r="C311" s="384" t="s">
        <v>153</v>
      </c>
      <c r="D311" s="384" t="s">
        <v>1062</v>
      </c>
      <c r="E311" s="370" t="s">
        <v>1368</v>
      </c>
      <c r="F311" s="379" t="s">
        <v>1681</v>
      </c>
      <c r="G311" s="384" t="s">
        <v>1994</v>
      </c>
      <c r="H311" s="379" t="s">
        <v>2305</v>
      </c>
      <c r="I311" s="388" t="s">
        <v>2941</v>
      </c>
      <c r="J311" s="384" t="s">
        <v>2630</v>
      </c>
      <c r="K311" s="29"/>
    </row>
    <row r="312" spans="2:11">
      <c r="B312" s="356" t="s">
        <v>807</v>
      </c>
      <c r="C312" s="384" t="s">
        <v>257</v>
      </c>
      <c r="D312" s="384" t="s">
        <v>1067</v>
      </c>
      <c r="E312" s="370" t="s">
        <v>1373</v>
      </c>
      <c r="F312" s="379" t="s">
        <v>1373</v>
      </c>
      <c r="G312" s="380" t="s">
        <v>1995</v>
      </c>
      <c r="H312" s="379" t="s">
        <v>2306</v>
      </c>
      <c r="I312" s="388" t="s">
        <v>2942</v>
      </c>
      <c r="J312" s="384" t="s">
        <v>1373</v>
      </c>
      <c r="K312" s="29"/>
    </row>
    <row r="313" spans="2:11">
      <c r="B313" s="356" t="s">
        <v>793</v>
      </c>
      <c r="C313" s="384" t="s">
        <v>205</v>
      </c>
      <c r="D313" s="384" t="s">
        <v>577</v>
      </c>
      <c r="E313" s="370" t="s">
        <v>1374</v>
      </c>
      <c r="F313" s="379" t="s">
        <v>1682</v>
      </c>
      <c r="G313" s="380" t="s">
        <v>1996</v>
      </c>
      <c r="H313" s="379" t="s">
        <v>2307</v>
      </c>
      <c r="I313" s="388" t="s">
        <v>2943</v>
      </c>
      <c r="J313" s="384" t="s">
        <v>2631</v>
      </c>
      <c r="K313" s="29"/>
    </row>
    <row r="314" spans="2:11">
      <c r="B314" s="356" t="s">
        <v>808</v>
      </c>
      <c r="C314" s="384" t="s">
        <v>1069</v>
      </c>
      <c r="D314" s="384" t="s">
        <v>1068</v>
      </c>
      <c r="E314" s="81" t="s">
        <v>1375</v>
      </c>
      <c r="F314" s="379" t="s">
        <v>1683</v>
      </c>
      <c r="G314" s="380" t="s">
        <v>1997</v>
      </c>
      <c r="H314" s="379" t="s">
        <v>2308</v>
      </c>
      <c r="I314" s="388" t="s">
        <v>2944</v>
      </c>
      <c r="J314" s="384" t="s">
        <v>2632</v>
      </c>
      <c r="K314" s="29"/>
    </row>
    <row r="315" spans="2:11">
      <c r="B315" s="356" t="s">
        <v>809</v>
      </c>
      <c r="C315" s="383" t="s">
        <v>264</v>
      </c>
      <c r="D315" s="384" t="s">
        <v>1070</v>
      </c>
      <c r="E315" s="81" t="s">
        <v>1376</v>
      </c>
      <c r="F315" s="379" t="s">
        <v>1684</v>
      </c>
      <c r="G315" s="380" t="s">
        <v>1998</v>
      </c>
      <c r="H315" s="379" t="s">
        <v>2309</v>
      </c>
      <c r="I315" s="388" t="s">
        <v>2945</v>
      </c>
      <c r="J315" s="383" t="s">
        <v>2633</v>
      </c>
      <c r="K315" s="29"/>
    </row>
    <row r="316" spans="2:11">
      <c r="B316" s="356" t="s">
        <v>810</v>
      </c>
      <c r="C316" s="383" t="s">
        <v>265</v>
      </c>
      <c r="D316" s="384" t="s">
        <v>1071</v>
      </c>
      <c r="E316" s="370" t="s">
        <v>1377</v>
      </c>
      <c r="F316" s="379" t="s">
        <v>1685</v>
      </c>
      <c r="G316" s="380" t="s">
        <v>1999</v>
      </c>
      <c r="H316" s="379" t="s">
        <v>2310</v>
      </c>
      <c r="I316" s="388" t="s">
        <v>2916</v>
      </c>
      <c r="J316" s="383" t="s">
        <v>2634</v>
      </c>
      <c r="K316" s="29"/>
    </row>
    <row r="317" spans="2:11">
      <c r="B317" s="356" t="s">
        <v>811</v>
      </c>
      <c r="C317" s="384" t="s">
        <v>241</v>
      </c>
      <c r="D317" s="384" t="s">
        <v>1072</v>
      </c>
      <c r="E317" s="370" t="s">
        <v>1378</v>
      </c>
      <c r="F317" s="379" t="s">
        <v>1686</v>
      </c>
      <c r="G317" s="380" t="s">
        <v>2000</v>
      </c>
      <c r="H317" s="379" t="s">
        <v>2311</v>
      </c>
      <c r="I317" s="379" t="s">
        <v>2946</v>
      </c>
      <c r="J317" s="384" t="s">
        <v>2635</v>
      </c>
      <c r="K317" s="29"/>
    </row>
    <row r="318" spans="2:11">
      <c r="B318" s="356" t="s">
        <v>812</v>
      </c>
      <c r="C318" s="384" t="s">
        <v>242</v>
      </c>
      <c r="D318" s="384" t="s">
        <v>1073</v>
      </c>
      <c r="E318" s="370" t="s">
        <v>1379</v>
      </c>
      <c r="F318" s="379" t="s">
        <v>1687</v>
      </c>
      <c r="G318" s="380" t="s">
        <v>2001</v>
      </c>
      <c r="H318" s="379" t="s">
        <v>2312</v>
      </c>
      <c r="I318" s="379" t="s">
        <v>2947</v>
      </c>
      <c r="J318" s="384" t="s">
        <v>2636</v>
      </c>
      <c r="K318" s="29"/>
    </row>
    <row r="319" spans="2:11">
      <c r="B319" s="356" t="s">
        <v>813</v>
      </c>
      <c r="C319" s="384" t="s">
        <v>239</v>
      </c>
      <c r="D319" s="384" t="s">
        <v>1074</v>
      </c>
      <c r="E319" s="370" t="s">
        <v>1380</v>
      </c>
      <c r="F319" s="379" t="s">
        <v>1688</v>
      </c>
      <c r="G319" s="380" t="s">
        <v>2002</v>
      </c>
      <c r="H319" s="379" t="s">
        <v>2313</v>
      </c>
      <c r="I319" s="388" t="s">
        <v>2948</v>
      </c>
      <c r="J319" s="384" t="s">
        <v>2637</v>
      </c>
      <c r="K319" s="29"/>
    </row>
    <row r="320" spans="2:11">
      <c r="B320" s="356" t="s">
        <v>814</v>
      </c>
      <c r="C320" s="384" t="s">
        <v>253</v>
      </c>
      <c r="D320" s="384" t="s">
        <v>1075</v>
      </c>
      <c r="E320" s="370" t="s">
        <v>1381</v>
      </c>
      <c r="F320" s="379" t="s">
        <v>1689</v>
      </c>
      <c r="G320" s="380" t="s">
        <v>2003</v>
      </c>
      <c r="H320" s="379" t="s">
        <v>2314</v>
      </c>
      <c r="I320" s="388" t="s">
        <v>2949</v>
      </c>
      <c r="J320" s="384" t="s">
        <v>2638</v>
      </c>
      <c r="K320" s="29"/>
    </row>
    <row r="321" spans="2:11">
      <c r="B321" s="356" t="s">
        <v>815</v>
      </c>
      <c r="C321" s="384" t="s">
        <v>236</v>
      </c>
      <c r="D321" s="384" t="s">
        <v>1076</v>
      </c>
      <c r="E321" s="370" t="s">
        <v>1382</v>
      </c>
      <c r="F321" s="379" t="s">
        <v>1690</v>
      </c>
      <c r="G321" s="380" t="s">
        <v>2004</v>
      </c>
      <c r="H321" s="379" t="s">
        <v>2315</v>
      </c>
      <c r="I321" s="388" t="s">
        <v>2950</v>
      </c>
      <c r="J321" s="384" t="s">
        <v>2639</v>
      </c>
      <c r="K321" s="29"/>
    </row>
    <row r="322" spans="2:11">
      <c r="B322" s="356" t="s">
        <v>816</v>
      </c>
      <c r="C322" s="384" t="s">
        <v>237</v>
      </c>
      <c r="D322" s="384" t="s">
        <v>1077</v>
      </c>
      <c r="E322" s="370" t="s">
        <v>1383</v>
      </c>
      <c r="F322" s="379" t="s">
        <v>1691</v>
      </c>
      <c r="G322" s="380" t="s">
        <v>2005</v>
      </c>
      <c r="H322" s="379" t="s">
        <v>2316</v>
      </c>
      <c r="I322" s="388" t="s">
        <v>2951</v>
      </c>
      <c r="J322" s="384" t="s">
        <v>2640</v>
      </c>
      <c r="K322" s="29"/>
    </row>
    <row r="323" spans="2:11">
      <c r="B323" s="356" t="s">
        <v>817</v>
      </c>
      <c r="C323" s="384" t="s">
        <v>235</v>
      </c>
      <c r="D323" s="384" t="s">
        <v>1079</v>
      </c>
      <c r="E323" s="370" t="s">
        <v>1384</v>
      </c>
      <c r="F323" s="379" t="s">
        <v>1692</v>
      </c>
      <c r="G323" s="380" t="s">
        <v>2006</v>
      </c>
      <c r="H323" s="379" t="s">
        <v>2317</v>
      </c>
      <c r="I323" s="379" t="s">
        <v>2952</v>
      </c>
      <c r="J323" s="384" t="s">
        <v>2641</v>
      </c>
      <c r="K323" s="29"/>
    </row>
    <row r="324" spans="2:11">
      <c r="B324" s="356" t="s">
        <v>818</v>
      </c>
      <c r="C324" s="384" t="s">
        <v>238</v>
      </c>
      <c r="D324" s="384" t="s">
        <v>1078</v>
      </c>
      <c r="E324" s="370" t="s">
        <v>1385</v>
      </c>
      <c r="F324" s="379" t="s">
        <v>1693</v>
      </c>
      <c r="G324" s="380" t="s">
        <v>2007</v>
      </c>
      <c r="H324" s="379" t="s">
        <v>2318</v>
      </c>
      <c r="I324" s="379" t="s">
        <v>2953</v>
      </c>
      <c r="J324" s="384" t="s">
        <v>2642</v>
      </c>
      <c r="K324" s="29"/>
    </row>
    <row r="325" spans="2:11">
      <c r="B325" s="356" t="s">
        <v>819</v>
      </c>
      <c r="C325" s="384" t="s">
        <v>243</v>
      </c>
      <c r="D325" s="384" t="s">
        <v>1080</v>
      </c>
      <c r="E325" s="368" t="s">
        <v>1386</v>
      </c>
      <c r="F325" s="379" t="s">
        <v>1694</v>
      </c>
      <c r="G325" s="380" t="s">
        <v>2008</v>
      </c>
      <c r="H325" s="379" t="s">
        <v>2319</v>
      </c>
      <c r="I325" s="379" t="s">
        <v>2954</v>
      </c>
      <c r="J325" s="384" t="s">
        <v>2643</v>
      </c>
      <c r="K325" s="29"/>
    </row>
    <row r="326" spans="2:11">
      <c r="B326" s="36" t="s">
        <v>389</v>
      </c>
      <c r="C326" s="385" t="s">
        <v>184</v>
      </c>
      <c r="D326" s="384" t="s">
        <v>441</v>
      </c>
      <c r="E326" s="368" t="s">
        <v>1387</v>
      </c>
      <c r="F326" s="379" t="s">
        <v>1695</v>
      </c>
      <c r="G326" s="380" t="s">
        <v>2009</v>
      </c>
      <c r="H326" s="379" t="s">
        <v>2320</v>
      </c>
      <c r="I326" s="388" t="s">
        <v>2955</v>
      </c>
      <c r="J326" s="386" t="s">
        <v>2644</v>
      </c>
      <c r="K326" s="29"/>
    </row>
    <row r="327" spans="2:11">
      <c r="B327" s="36" t="s">
        <v>390</v>
      </c>
      <c r="C327" s="385" t="s">
        <v>233</v>
      </c>
      <c r="D327" s="385" t="s">
        <v>233</v>
      </c>
      <c r="E327" s="368" t="s">
        <v>1388</v>
      </c>
      <c r="F327" s="379" t="s">
        <v>1696</v>
      </c>
      <c r="G327" s="380" t="s">
        <v>2010</v>
      </c>
      <c r="H327" s="379" t="s">
        <v>2321</v>
      </c>
      <c r="I327" s="388" t="s">
        <v>2956</v>
      </c>
      <c r="J327" s="385" t="s">
        <v>233</v>
      </c>
      <c r="K327" s="29"/>
    </row>
    <row r="328" spans="2:11">
      <c r="B328" s="36" t="s">
        <v>394</v>
      </c>
      <c r="C328" s="385" t="s">
        <v>232</v>
      </c>
      <c r="D328" s="385" t="s">
        <v>442</v>
      </c>
      <c r="E328" s="368" t="s">
        <v>232</v>
      </c>
      <c r="F328" s="385" t="s">
        <v>232</v>
      </c>
      <c r="G328" s="385" t="s">
        <v>232</v>
      </c>
      <c r="H328" s="379" t="s">
        <v>2322</v>
      </c>
      <c r="I328" s="385" t="s">
        <v>232</v>
      </c>
      <c r="J328" s="385" t="s">
        <v>232</v>
      </c>
      <c r="K328" s="29"/>
    </row>
    <row r="329" spans="2:11">
      <c r="B329" s="36" t="s">
        <v>391</v>
      </c>
      <c r="C329" s="385" t="s">
        <v>176</v>
      </c>
      <c r="D329" s="385" t="s">
        <v>176</v>
      </c>
      <c r="E329" s="368" t="s">
        <v>176</v>
      </c>
      <c r="F329" s="385" t="s">
        <v>176</v>
      </c>
      <c r="G329" s="385" t="s">
        <v>176</v>
      </c>
      <c r="H329" s="379" t="s">
        <v>176</v>
      </c>
      <c r="I329" s="385" t="s">
        <v>176</v>
      </c>
      <c r="J329" s="385" t="s">
        <v>176</v>
      </c>
      <c r="K329" s="29"/>
    </row>
    <row r="330" spans="2:11">
      <c r="B330" s="36" t="s">
        <v>395</v>
      </c>
      <c r="C330" s="385" t="s">
        <v>192</v>
      </c>
      <c r="D330" s="385" t="s">
        <v>443</v>
      </c>
      <c r="E330" s="368" t="s">
        <v>192</v>
      </c>
      <c r="F330" s="385" t="s">
        <v>192</v>
      </c>
      <c r="G330" s="385" t="s">
        <v>192</v>
      </c>
      <c r="H330" s="379" t="s">
        <v>2323</v>
      </c>
      <c r="I330" s="385" t="s">
        <v>192</v>
      </c>
      <c r="J330" s="385" t="s">
        <v>192</v>
      </c>
      <c r="K330" s="29"/>
    </row>
    <row r="331" spans="2:11">
      <c r="B331" s="36" t="s">
        <v>396</v>
      </c>
      <c r="C331" s="385" t="s">
        <v>178</v>
      </c>
      <c r="D331" s="385" t="s">
        <v>178</v>
      </c>
      <c r="E331" s="368" t="s">
        <v>1389</v>
      </c>
      <c r="F331" s="385" t="s">
        <v>178</v>
      </c>
      <c r="G331" s="385" t="s">
        <v>178</v>
      </c>
      <c r="H331" s="379" t="s">
        <v>178</v>
      </c>
      <c r="I331" s="385" t="s">
        <v>178</v>
      </c>
      <c r="J331" s="385" t="s">
        <v>178</v>
      </c>
      <c r="K331" s="29"/>
    </row>
    <row r="332" spans="2:11">
      <c r="B332" s="36" t="s">
        <v>392</v>
      </c>
      <c r="C332" s="385" t="s">
        <v>181</v>
      </c>
      <c r="D332" s="385" t="s">
        <v>181</v>
      </c>
      <c r="E332" s="368" t="s">
        <v>181</v>
      </c>
      <c r="F332" s="385" t="s">
        <v>181</v>
      </c>
      <c r="G332" s="385" t="s">
        <v>181</v>
      </c>
      <c r="H332" s="379" t="s">
        <v>181</v>
      </c>
      <c r="I332" s="385" t="s">
        <v>181</v>
      </c>
      <c r="J332" s="385" t="s">
        <v>181</v>
      </c>
      <c r="K332" s="29"/>
    </row>
    <row r="333" spans="2:11">
      <c r="B333" s="36" t="s">
        <v>393</v>
      </c>
      <c r="C333" s="385" t="s">
        <v>201</v>
      </c>
      <c r="D333" s="385" t="s">
        <v>201</v>
      </c>
      <c r="E333" s="368" t="s">
        <v>201</v>
      </c>
      <c r="F333" s="385" t="s">
        <v>201</v>
      </c>
      <c r="G333" s="385" t="s">
        <v>201</v>
      </c>
      <c r="H333" s="379" t="s">
        <v>201</v>
      </c>
      <c r="I333" s="385" t="s">
        <v>201</v>
      </c>
      <c r="J333" s="385" t="s">
        <v>201</v>
      </c>
      <c r="K333" s="29"/>
    </row>
    <row r="334" spans="2:11">
      <c r="B334" s="39" t="s">
        <v>439</v>
      </c>
      <c r="C334" s="385" t="s">
        <v>197</v>
      </c>
      <c r="D334" s="385" t="s">
        <v>197</v>
      </c>
      <c r="E334" s="368" t="s">
        <v>197</v>
      </c>
      <c r="F334" s="385" t="s">
        <v>197</v>
      </c>
      <c r="G334" s="385" t="s">
        <v>197</v>
      </c>
      <c r="H334" s="389" t="s">
        <v>197</v>
      </c>
      <c r="I334" s="385" t="s">
        <v>197</v>
      </c>
      <c r="J334" s="385" t="s">
        <v>197</v>
      </c>
      <c r="K334" s="29"/>
    </row>
    <row r="335" spans="2:11">
      <c r="B335" s="39" t="s">
        <v>533</v>
      </c>
      <c r="C335" s="386" t="s">
        <v>192</v>
      </c>
      <c r="D335" s="386" t="s">
        <v>443</v>
      </c>
      <c r="E335" s="368" t="s">
        <v>192</v>
      </c>
      <c r="F335" s="386" t="s">
        <v>192</v>
      </c>
      <c r="G335" s="386" t="s">
        <v>192</v>
      </c>
      <c r="H335" s="379" t="s">
        <v>2323</v>
      </c>
      <c r="I335" s="386" t="s">
        <v>192</v>
      </c>
      <c r="J335" s="386" t="s">
        <v>192</v>
      </c>
      <c r="K335" s="29"/>
    </row>
    <row r="336" spans="2:11">
      <c r="B336" s="39" t="s">
        <v>440</v>
      </c>
      <c r="C336" s="385" t="s">
        <v>269</v>
      </c>
      <c r="D336" s="385" t="s">
        <v>269</v>
      </c>
      <c r="E336" s="368" t="s">
        <v>269</v>
      </c>
      <c r="F336" s="385" t="s">
        <v>269</v>
      </c>
      <c r="G336" s="385" t="s">
        <v>269</v>
      </c>
      <c r="H336" s="379" t="s">
        <v>269</v>
      </c>
      <c r="I336" s="386" t="s">
        <v>2957</v>
      </c>
      <c r="J336" s="385" t="s">
        <v>269</v>
      </c>
      <c r="K336" s="29"/>
    </row>
    <row r="337" spans="2:11">
      <c r="B337" s="36" t="s">
        <v>397</v>
      </c>
      <c r="C337" s="385" t="s">
        <v>318</v>
      </c>
      <c r="D337" s="385" t="s">
        <v>318</v>
      </c>
      <c r="E337" s="368" t="s">
        <v>318</v>
      </c>
      <c r="F337" s="385" t="s">
        <v>318</v>
      </c>
      <c r="G337" s="385" t="s">
        <v>318</v>
      </c>
      <c r="H337" s="379" t="s">
        <v>2324</v>
      </c>
      <c r="I337" s="388" t="s">
        <v>318</v>
      </c>
      <c r="J337" s="385" t="s">
        <v>318</v>
      </c>
      <c r="K337" s="29"/>
    </row>
    <row r="338" spans="2:11">
      <c r="B338" s="36" t="s">
        <v>398</v>
      </c>
      <c r="C338" s="385" t="s">
        <v>182</v>
      </c>
      <c r="D338" s="385" t="s">
        <v>182</v>
      </c>
      <c r="E338" s="368" t="s">
        <v>182</v>
      </c>
      <c r="F338" s="385" t="s">
        <v>182</v>
      </c>
      <c r="G338" s="385" t="s">
        <v>182</v>
      </c>
      <c r="H338" s="379" t="s">
        <v>182</v>
      </c>
      <c r="I338" s="388" t="s">
        <v>182</v>
      </c>
      <c r="J338" s="385" t="s">
        <v>182</v>
      </c>
      <c r="K338" s="29"/>
    </row>
    <row r="339" spans="2:11">
      <c r="B339" s="36" t="s">
        <v>399</v>
      </c>
      <c r="C339" s="385" t="s">
        <v>183</v>
      </c>
      <c r="D339" s="385" t="s">
        <v>183</v>
      </c>
      <c r="E339" s="368" t="s">
        <v>183</v>
      </c>
      <c r="F339" s="385" t="s">
        <v>183</v>
      </c>
      <c r="G339" s="385" t="s">
        <v>183</v>
      </c>
      <c r="H339" s="379" t="s">
        <v>183</v>
      </c>
      <c r="I339" s="388" t="s">
        <v>183</v>
      </c>
      <c r="J339" s="385" t="s">
        <v>183</v>
      </c>
      <c r="K339" s="29"/>
    </row>
    <row r="340" spans="2:11">
      <c r="B340" s="39" t="s">
        <v>493</v>
      </c>
      <c r="C340" s="386" t="s">
        <v>188</v>
      </c>
      <c r="D340" s="386" t="s">
        <v>495</v>
      </c>
      <c r="E340" s="368" t="s">
        <v>188</v>
      </c>
      <c r="F340" s="386" t="s">
        <v>188</v>
      </c>
      <c r="G340" s="386" t="s">
        <v>188</v>
      </c>
      <c r="H340" s="379" t="s">
        <v>2325</v>
      </c>
      <c r="I340" s="386" t="s">
        <v>188</v>
      </c>
      <c r="J340" s="386" t="s">
        <v>188</v>
      </c>
      <c r="K340" s="29"/>
    </row>
    <row r="341" spans="2:11">
      <c r="B341" s="39" t="s">
        <v>491</v>
      </c>
      <c r="C341" s="385" t="s">
        <v>189</v>
      </c>
      <c r="D341" s="385" t="s">
        <v>189</v>
      </c>
      <c r="E341" s="368" t="s">
        <v>189</v>
      </c>
      <c r="F341" s="385" t="s">
        <v>189</v>
      </c>
      <c r="G341" s="385" t="s">
        <v>189</v>
      </c>
      <c r="H341" s="388" t="s">
        <v>189</v>
      </c>
      <c r="I341" s="385" t="s">
        <v>189</v>
      </c>
      <c r="J341" s="385" t="s">
        <v>189</v>
      </c>
      <c r="K341" s="29"/>
    </row>
    <row r="342" spans="2:11">
      <c r="B342" s="39" t="s">
        <v>492</v>
      </c>
      <c r="C342" s="385" t="s">
        <v>190</v>
      </c>
      <c r="D342" s="386" t="s">
        <v>497</v>
      </c>
      <c r="E342" s="368" t="s">
        <v>190</v>
      </c>
      <c r="F342" s="385" t="s">
        <v>190</v>
      </c>
      <c r="G342" s="385" t="s">
        <v>190</v>
      </c>
      <c r="H342" s="379" t="s">
        <v>2326</v>
      </c>
      <c r="I342" s="385" t="s">
        <v>190</v>
      </c>
      <c r="J342" s="385" t="s">
        <v>190</v>
      </c>
      <c r="K342" s="29"/>
    </row>
    <row r="343" spans="2:11">
      <c r="B343" s="39" t="s">
        <v>494</v>
      </c>
      <c r="C343" s="386" t="s">
        <v>193</v>
      </c>
      <c r="D343" s="386" t="s">
        <v>193</v>
      </c>
      <c r="E343" s="368" t="s">
        <v>193</v>
      </c>
      <c r="F343" s="386" t="s">
        <v>193</v>
      </c>
      <c r="G343" s="386" t="s">
        <v>193</v>
      </c>
      <c r="H343" s="379" t="s">
        <v>193</v>
      </c>
      <c r="I343" s="386" t="s">
        <v>193</v>
      </c>
      <c r="J343" s="386" t="s">
        <v>193</v>
      </c>
    </row>
    <row r="344" spans="2:11">
      <c r="B344" s="39" t="s">
        <v>499</v>
      </c>
      <c r="C344" s="386" t="s">
        <v>198</v>
      </c>
      <c r="D344" s="386" t="s">
        <v>496</v>
      </c>
      <c r="E344" s="368" t="s">
        <v>198</v>
      </c>
      <c r="F344" s="386" t="s">
        <v>198</v>
      </c>
      <c r="G344" s="386" t="s">
        <v>198</v>
      </c>
      <c r="H344" s="379" t="s">
        <v>2327</v>
      </c>
      <c r="I344" s="386" t="s">
        <v>198</v>
      </c>
      <c r="J344" s="386" t="s">
        <v>198</v>
      </c>
    </row>
    <row r="345" spans="2:11">
      <c r="B345" s="39" t="s">
        <v>500</v>
      </c>
      <c r="C345" s="386" t="s">
        <v>199</v>
      </c>
      <c r="D345" s="386" t="s">
        <v>199</v>
      </c>
      <c r="E345" s="368" t="s">
        <v>199</v>
      </c>
      <c r="F345" s="386" t="s">
        <v>199</v>
      </c>
      <c r="G345" s="386" t="s">
        <v>199</v>
      </c>
      <c r="H345" s="371" t="s">
        <v>199</v>
      </c>
      <c r="I345" s="386" t="s">
        <v>199</v>
      </c>
      <c r="J345" s="386" t="s">
        <v>199</v>
      </c>
      <c r="K345" s="29"/>
    </row>
    <row r="346" spans="2:11">
      <c r="B346" s="39" t="s">
        <v>501</v>
      </c>
      <c r="C346" s="386" t="s">
        <v>200</v>
      </c>
      <c r="D346" s="386" t="s">
        <v>498</v>
      </c>
      <c r="E346" s="368" t="s">
        <v>200</v>
      </c>
      <c r="F346" s="386" t="s">
        <v>200</v>
      </c>
      <c r="G346" s="386" t="s">
        <v>200</v>
      </c>
      <c r="H346" s="379" t="s">
        <v>2328</v>
      </c>
      <c r="I346" s="386" t="s">
        <v>200</v>
      </c>
      <c r="J346" s="386" t="s">
        <v>200</v>
      </c>
      <c r="K346" s="29"/>
    </row>
    <row r="347" spans="2:11">
      <c r="B347" s="39" t="s">
        <v>502</v>
      </c>
      <c r="C347" s="386" t="s">
        <v>204</v>
      </c>
      <c r="D347" s="386" t="s">
        <v>204</v>
      </c>
      <c r="E347" s="368" t="s">
        <v>204</v>
      </c>
      <c r="F347" s="386" t="s">
        <v>204</v>
      </c>
      <c r="G347" s="386" t="s">
        <v>204</v>
      </c>
      <c r="H347" s="379" t="s">
        <v>2329</v>
      </c>
      <c r="I347" s="386" t="s">
        <v>204</v>
      </c>
      <c r="J347" s="386" t="s">
        <v>204</v>
      </c>
      <c r="K347" s="29"/>
    </row>
    <row r="348" spans="2:11">
      <c r="B348" s="39" t="s">
        <v>512</v>
      </c>
      <c r="C348" s="385" t="s">
        <v>202</v>
      </c>
      <c r="D348" s="385" t="s">
        <v>503</v>
      </c>
      <c r="E348" s="368" t="s">
        <v>202</v>
      </c>
      <c r="F348" s="385" t="s">
        <v>202</v>
      </c>
      <c r="G348" s="385" t="s">
        <v>202</v>
      </c>
      <c r="H348" s="379" t="s">
        <v>2330</v>
      </c>
      <c r="I348" s="385" t="s">
        <v>202</v>
      </c>
      <c r="J348" s="385" t="s">
        <v>202</v>
      </c>
      <c r="K348" s="29"/>
    </row>
    <row r="349" spans="2:11">
      <c r="B349" s="39" t="s">
        <v>504</v>
      </c>
      <c r="C349" s="386" t="s">
        <v>203</v>
      </c>
      <c r="D349" s="386" t="s">
        <v>203</v>
      </c>
      <c r="E349" s="368" t="s">
        <v>203</v>
      </c>
      <c r="F349" s="386" t="s">
        <v>203</v>
      </c>
      <c r="G349" s="386" t="s">
        <v>203</v>
      </c>
      <c r="H349" s="379" t="s">
        <v>203</v>
      </c>
      <c r="I349" s="386" t="s">
        <v>203</v>
      </c>
      <c r="J349" s="386" t="s">
        <v>203</v>
      </c>
      <c r="K349" s="29"/>
    </row>
    <row r="350" spans="2:11">
      <c r="B350" s="39" t="s">
        <v>505</v>
      </c>
      <c r="C350" s="386" t="s">
        <v>506</v>
      </c>
      <c r="D350" s="386" t="s">
        <v>509</v>
      </c>
      <c r="E350" s="368" t="s">
        <v>506</v>
      </c>
      <c r="F350" s="386" t="s">
        <v>506</v>
      </c>
      <c r="G350" s="386" t="s">
        <v>506</v>
      </c>
      <c r="H350" s="379" t="s">
        <v>2331</v>
      </c>
      <c r="I350" s="386" t="s">
        <v>506</v>
      </c>
      <c r="J350" s="386" t="s">
        <v>506</v>
      </c>
      <c r="K350" s="29"/>
    </row>
    <row r="351" spans="2:11">
      <c r="B351" s="39" t="s">
        <v>513</v>
      </c>
      <c r="C351" s="386" t="s">
        <v>194</v>
      </c>
      <c r="D351" s="386" t="s">
        <v>510</v>
      </c>
      <c r="E351" s="368" t="s">
        <v>194</v>
      </c>
      <c r="F351" s="386" t="s">
        <v>194</v>
      </c>
      <c r="G351" s="386" t="s">
        <v>194</v>
      </c>
      <c r="H351" s="379" t="s">
        <v>2332</v>
      </c>
      <c r="I351" s="386" t="s">
        <v>194</v>
      </c>
      <c r="J351" s="386" t="s">
        <v>194</v>
      </c>
      <c r="K351" s="29"/>
    </row>
    <row r="352" spans="2:11">
      <c r="B352" s="39" t="s">
        <v>507</v>
      </c>
      <c r="C352" s="386" t="s">
        <v>195</v>
      </c>
      <c r="D352" s="386" t="s">
        <v>195</v>
      </c>
      <c r="E352" s="368" t="s">
        <v>195</v>
      </c>
      <c r="F352" s="386" t="s">
        <v>195</v>
      </c>
      <c r="G352" s="386" t="s">
        <v>195</v>
      </c>
      <c r="H352" s="379" t="s">
        <v>2333</v>
      </c>
      <c r="I352" s="386" t="s">
        <v>195</v>
      </c>
      <c r="J352" s="386" t="s">
        <v>195</v>
      </c>
      <c r="K352" s="29"/>
    </row>
    <row r="353" spans="2:11">
      <c r="B353" s="39" t="s">
        <v>508</v>
      </c>
      <c r="C353" s="386" t="s">
        <v>196</v>
      </c>
      <c r="D353" s="386" t="s">
        <v>511</v>
      </c>
      <c r="E353" s="368" t="s">
        <v>196</v>
      </c>
      <c r="F353" s="386" t="s">
        <v>196</v>
      </c>
      <c r="G353" s="386" t="s">
        <v>196</v>
      </c>
      <c r="H353" s="379" t="s">
        <v>2334</v>
      </c>
      <c r="I353" s="386" t="s">
        <v>196</v>
      </c>
      <c r="J353" s="386" t="s">
        <v>196</v>
      </c>
      <c r="K353" s="29"/>
    </row>
    <row r="354" spans="2:11">
      <c r="B354" s="39" t="s">
        <v>514</v>
      </c>
      <c r="C354" s="386" t="s">
        <v>209</v>
      </c>
      <c r="D354" s="386" t="s">
        <v>209</v>
      </c>
      <c r="E354" s="368" t="s">
        <v>1390</v>
      </c>
      <c r="F354" s="386" t="s">
        <v>209</v>
      </c>
      <c r="G354" s="386" t="s">
        <v>209</v>
      </c>
      <c r="H354" s="379" t="s">
        <v>209</v>
      </c>
      <c r="I354" s="386" t="s">
        <v>2958</v>
      </c>
      <c r="J354" s="386" t="s">
        <v>209</v>
      </c>
      <c r="K354" s="29"/>
    </row>
    <row r="355" spans="2:11">
      <c r="B355" s="39" t="s">
        <v>515</v>
      </c>
      <c r="C355" s="386" t="s">
        <v>223</v>
      </c>
      <c r="D355" s="386" t="s">
        <v>521</v>
      </c>
      <c r="E355" s="368" t="s">
        <v>223</v>
      </c>
      <c r="F355" s="386" t="s">
        <v>1697</v>
      </c>
      <c r="G355" s="386" t="s">
        <v>223</v>
      </c>
      <c r="H355" s="379" t="s">
        <v>2335</v>
      </c>
      <c r="I355" s="386" t="s">
        <v>223</v>
      </c>
      <c r="J355" s="386" t="s">
        <v>223</v>
      </c>
      <c r="K355" s="29"/>
    </row>
    <row r="356" spans="2:11">
      <c r="B356" s="39" t="s">
        <v>516</v>
      </c>
      <c r="C356" s="386" t="s">
        <v>224</v>
      </c>
      <c r="D356" s="386" t="s">
        <v>519</v>
      </c>
      <c r="E356" s="368" t="s">
        <v>224</v>
      </c>
      <c r="F356" s="386" t="s">
        <v>1698</v>
      </c>
      <c r="G356" s="386" t="s">
        <v>224</v>
      </c>
      <c r="H356" s="379" t="s">
        <v>1698</v>
      </c>
      <c r="I356" s="386" t="s">
        <v>224</v>
      </c>
      <c r="J356" s="386" t="s">
        <v>224</v>
      </c>
      <c r="K356" s="29"/>
    </row>
    <row r="357" spans="2:11">
      <c r="B357" s="39" t="s">
        <v>517</v>
      </c>
      <c r="C357" s="386" t="s">
        <v>225</v>
      </c>
      <c r="D357" s="386" t="s">
        <v>522</v>
      </c>
      <c r="E357" s="368" t="s">
        <v>225</v>
      </c>
      <c r="F357" s="386" t="s">
        <v>1699</v>
      </c>
      <c r="G357" s="386" t="s">
        <v>225</v>
      </c>
      <c r="H357" s="379" t="s">
        <v>2336</v>
      </c>
      <c r="I357" s="386" t="s">
        <v>225</v>
      </c>
      <c r="J357" s="386" t="s">
        <v>225</v>
      </c>
      <c r="K357" s="29"/>
    </row>
    <row r="358" spans="2:11">
      <c r="B358" s="39" t="s">
        <v>518</v>
      </c>
      <c r="C358" s="386" t="s">
        <v>226</v>
      </c>
      <c r="D358" s="386" t="s">
        <v>520</v>
      </c>
      <c r="E358" s="368" t="s">
        <v>226</v>
      </c>
      <c r="F358" s="386" t="s">
        <v>1700</v>
      </c>
      <c r="G358" s="386" t="s">
        <v>226</v>
      </c>
      <c r="H358" s="379" t="s">
        <v>1700</v>
      </c>
      <c r="I358" s="386" t="s">
        <v>226</v>
      </c>
      <c r="J358" s="386" t="s">
        <v>226</v>
      </c>
      <c r="K358" s="29"/>
    </row>
    <row r="359" spans="2:11">
      <c r="B359" s="39" t="s">
        <v>523</v>
      </c>
      <c r="C359" s="386" t="s">
        <v>207</v>
      </c>
      <c r="D359" s="386" t="s">
        <v>207</v>
      </c>
      <c r="E359" s="368" t="s">
        <v>207</v>
      </c>
      <c r="F359" s="386" t="s">
        <v>207</v>
      </c>
      <c r="G359" s="386" t="s">
        <v>207</v>
      </c>
      <c r="H359" s="379" t="s">
        <v>207</v>
      </c>
      <c r="I359" s="386" t="s">
        <v>2959</v>
      </c>
      <c r="J359" s="386" t="s">
        <v>207</v>
      </c>
      <c r="K359" s="29"/>
    </row>
    <row r="360" spans="2:11">
      <c r="B360" s="39" t="s">
        <v>524</v>
      </c>
      <c r="C360" s="386" t="s">
        <v>219</v>
      </c>
      <c r="D360" s="386" t="s">
        <v>219</v>
      </c>
      <c r="E360" s="368" t="s">
        <v>219</v>
      </c>
      <c r="F360" s="386" t="s">
        <v>219</v>
      </c>
      <c r="G360" s="386" t="s">
        <v>219</v>
      </c>
      <c r="H360" s="379" t="s">
        <v>219</v>
      </c>
      <c r="I360" s="388" t="s">
        <v>219</v>
      </c>
      <c r="J360" s="386" t="s">
        <v>219</v>
      </c>
      <c r="K360" s="29"/>
    </row>
    <row r="361" spans="2:11" ht="15" customHeight="1">
      <c r="B361" s="39" t="s">
        <v>530</v>
      </c>
      <c r="C361" s="386" t="s">
        <v>210</v>
      </c>
      <c r="D361" s="386" t="s">
        <v>529</v>
      </c>
      <c r="E361" s="368" t="s">
        <v>1391</v>
      </c>
      <c r="F361" s="386" t="s">
        <v>210</v>
      </c>
      <c r="G361" s="380" t="s">
        <v>2011</v>
      </c>
      <c r="H361" s="379" t="s">
        <v>2337</v>
      </c>
      <c r="I361" s="386" t="s">
        <v>2960</v>
      </c>
      <c r="J361" s="386" t="s">
        <v>210</v>
      </c>
      <c r="K361" s="29"/>
    </row>
    <row r="362" spans="2:11">
      <c r="B362" s="39" t="s">
        <v>525</v>
      </c>
      <c r="C362" s="386" t="s">
        <v>211</v>
      </c>
      <c r="D362" s="386" t="s">
        <v>527</v>
      </c>
      <c r="E362" s="368" t="s">
        <v>1392</v>
      </c>
      <c r="F362" s="386" t="s">
        <v>211</v>
      </c>
      <c r="G362" s="380" t="s">
        <v>2012</v>
      </c>
      <c r="H362" s="379" t="s">
        <v>2338</v>
      </c>
      <c r="I362" s="386" t="s">
        <v>2961</v>
      </c>
      <c r="J362" s="386" t="s">
        <v>211</v>
      </c>
      <c r="K362" s="29"/>
    </row>
    <row r="363" spans="2:11">
      <c r="B363" s="39" t="s">
        <v>526</v>
      </c>
      <c r="C363" s="386" t="s">
        <v>212</v>
      </c>
      <c r="D363" s="386" t="s">
        <v>528</v>
      </c>
      <c r="E363" s="368" t="s">
        <v>1393</v>
      </c>
      <c r="F363" s="386" t="s">
        <v>212</v>
      </c>
      <c r="G363" s="380" t="s">
        <v>2013</v>
      </c>
      <c r="H363" s="379" t="s">
        <v>2339</v>
      </c>
      <c r="I363" s="386" t="s">
        <v>2962</v>
      </c>
      <c r="J363" s="386" t="s">
        <v>212</v>
      </c>
      <c r="K363" s="29"/>
    </row>
    <row r="364" spans="2:11">
      <c r="B364" s="39" t="s">
        <v>531</v>
      </c>
      <c r="C364" s="386" t="s">
        <v>206</v>
      </c>
      <c r="D364" s="386" t="s">
        <v>532</v>
      </c>
      <c r="E364" s="368" t="s">
        <v>1394</v>
      </c>
      <c r="F364" s="386" t="s">
        <v>206</v>
      </c>
      <c r="G364" s="380" t="s">
        <v>2014</v>
      </c>
      <c r="H364" s="379" t="s">
        <v>2340</v>
      </c>
      <c r="I364" s="386" t="s">
        <v>2963</v>
      </c>
      <c r="J364" s="386" t="s">
        <v>206</v>
      </c>
      <c r="K364" s="29"/>
    </row>
    <row r="365" spans="2:11">
      <c r="B365" s="39" t="s">
        <v>628</v>
      </c>
      <c r="C365" s="386" t="s">
        <v>1081</v>
      </c>
      <c r="D365" s="384" t="s">
        <v>1082</v>
      </c>
      <c r="E365" s="386" t="s">
        <v>1395</v>
      </c>
      <c r="F365" s="386" t="s">
        <v>1081</v>
      </c>
      <c r="G365" s="380" t="s">
        <v>2015</v>
      </c>
      <c r="H365" s="379" t="s">
        <v>2341</v>
      </c>
      <c r="I365" s="388" t="s">
        <v>2964</v>
      </c>
      <c r="J365" s="386" t="s">
        <v>1081</v>
      </c>
      <c r="K365" s="29"/>
    </row>
    <row r="366" spans="2:11">
      <c r="B366" s="39" t="s">
        <v>671</v>
      </c>
      <c r="C366" s="386" t="s">
        <v>351</v>
      </c>
      <c r="D366" s="386" t="s">
        <v>1083</v>
      </c>
      <c r="E366" s="368" t="s">
        <v>1396</v>
      </c>
      <c r="F366" s="386" t="s">
        <v>351</v>
      </c>
      <c r="G366" s="380" t="s">
        <v>2016</v>
      </c>
      <c r="H366" s="379" t="s">
        <v>2342</v>
      </c>
      <c r="I366" s="388" t="s">
        <v>2965</v>
      </c>
      <c r="J366" s="386" t="s">
        <v>351</v>
      </c>
      <c r="K366" s="29"/>
    </row>
    <row r="367" spans="2:11">
      <c r="B367" s="39" t="s">
        <v>394</v>
      </c>
      <c r="C367" s="386" t="s">
        <v>177</v>
      </c>
      <c r="D367" s="386" t="s">
        <v>442</v>
      </c>
      <c r="E367" s="368" t="s">
        <v>177</v>
      </c>
      <c r="F367" s="386" t="s">
        <v>177</v>
      </c>
      <c r="G367" s="386" t="s">
        <v>177</v>
      </c>
      <c r="H367" s="379" t="s">
        <v>2322</v>
      </c>
      <c r="I367" s="388" t="s">
        <v>177</v>
      </c>
      <c r="J367" s="386" t="s">
        <v>177</v>
      </c>
      <c r="K367" s="29"/>
    </row>
    <row r="368" spans="2:11">
      <c r="B368" s="39" t="s">
        <v>672</v>
      </c>
      <c r="C368" s="386" t="s">
        <v>288</v>
      </c>
      <c r="D368" s="386" t="s">
        <v>288</v>
      </c>
      <c r="E368" s="368" t="s">
        <v>288</v>
      </c>
      <c r="F368" s="386" t="s">
        <v>288</v>
      </c>
      <c r="G368" s="386" t="s">
        <v>288</v>
      </c>
      <c r="H368" s="379" t="s">
        <v>2343</v>
      </c>
      <c r="I368" s="386" t="s">
        <v>288</v>
      </c>
      <c r="J368" s="386" t="s">
        <v>288</v>
      </c>
      <c r="K368" s="29"/>
    </row>
    <row r="369" spans="2:11">
      <c r="B369" s="39" t="s">
        <v>673</v>
      </c>
      <c r="C369" s="386" t="s">
        <v>289</v>
      </c>
      <c r="D369" s="386" t="s">
        <v>289</v>
      </c>
      <c r="E369" s="368" t="s">
        <v>289</v>
      </c>
      <c r="F369" s="386" t="s">
        <v>289</v>
      </c>
      <c r="G369" s="386" t="s">
        <v>289</v>
      </c>
      <c r="H369" s="379" t="s">
        <v>2344</v>
      </c>
      <c r="I369" s="386" t="s">
        <v>289</v>
      </c>
      <c r="J369" s="386" t="s">
        <v>289</v>
      </c>
      <c r="K369" s="29"/>
    </row>
    <row r="370" spans="2:11">
      <c r="B370" s="39" t="s">
        <v>674</v>
      </c>
      <c r="C370" s="386" t="s">
        <v>290</v>
      </c>
      <c r="D370" s="386" t="s">
        <v>290</v>
      </c>
      <c r="E370" s="368" t="s">
        <v>290</v>
      </c>
      <c r="F370" s="386" t="s">
        <v>290</v>
      </c>
      <c r="G370" s="386" t="s">
        <v>290</v>
      </c>
      <c r="H370" s="379" t="s">
        <v>290</v>
      </c>
      <c r="I370" s="386" t="s">
        <v>290</v>
      </c>
      <c r="J370" s="386" t="s">
        <v>290</v>
      </c>
      <c r="K370" s="29"/>
    </row>
    <row r="371" spans="2:11">
      <c r="B371" s="39" t="s">
        <v>675</v>
      </c>
      <c r="C371" s="386" t="s">
        <v>291</v>
      </c>
      <c r="D371" s="386" t="s">
        <v>291</v>
      </c>
      <c r="E371" s="368" t="s">
        <v>291</v>
      </c>
      <c r="F371" s="386" t="s">
        <v>291</v>
      </c>
      <c r="G371" s="386" t="s">
        <v>291</v>
      </c>
      <c r="H371" s="379" t="s">
        <v>291</v>
      </c>
      <c r="I371" s="386" t="s">
        <v>291</v>
      </c>
      <c r="J371" s="386" t="s">
        <v>291</v>
      </c>
      <c r="K371" s="29"/>
    </row>
    <row r="372" spans="2:11" ht="17.25">
      <c r="B372" s="39" t="s">
        <v>533</v>
      </c>
      <c r="C372" s="386" t="s">
        <v>1084</v>
      </c>
      <c r="D372" s="386" t="s">
        <v>1085</v>
      </c>
      <c r="E372" s="368" t="s">
        <v>1397</v>
      </c>
      <c r="F372" s="386" t="s">
        <v>1084</v>
      </c>
      <c r="G372" s="386" t="s">
        <v>1084</v>
      </c>
      <c r="H372" s="379" t="s">
        <v>1084</v>
      </c>
      <c r="I372" s="386" t="s">
        <v>1084</v>
      </c>
      <c r="J372" s="386" t="s">
        <v>1084</v>
      </c>
      <c r="K372" s="29"/>
    </row>
    <row r="373" spans="2:11">
      <c r="B373" s="39" t="s">
        <v>750</v>
      </c>
      <c r="C373" s="386" t="s">
        <v>247</v>
      </c>
      <c r="D373" s="386" t="s">
        <v>1086</v>
      </c>
      <c r="E373" s="368" t="s">
        <v>1398</v>
      </c>
      <c r="F373" s="386" t="s">
        <v>247</v>
      </c>
      <c r="G373" s="380" t="s">
        <v>2017</v>
      </c>
      <c r="H373" s="388" t="s">
        <v>2345</v>
      </c>
      <c r="I373" s="386" t="s">
        <v>247</v>
      </c>
      <c r="J373" s="386" t="s">
        <v>247</v>
      </c>
      <c r="K373" s="29"/>
    </row>
    <row r="374" spans="2:11">
      <c r="B374" s="39" t="s">
        <v>751</v>
      </c>
      <c r="C374" s="386" t="s">
        <v>260</v>
      </c>
      <c r="D374" s="386" t="s">
        <v>260</v>
      </c>
      <c r="E374" s="370" t="s">
        <v>260</v>
      </c>
      <c r="F374" s="386" t="s">
        <v>260</v>
      </c>
      <c r="G374" s="386" t="s">
        <v>260</v>
      </c>
      <c r="H374" s="379" t="s">
        <v>260</v>
      </c>
      <c r="I374" s="386" t="s">
        <v>260</v>
      </c>
      <c r="J374" s="386" t="s">
        <v>260</v>
      </c>
      <c r="K374" s="29"/>
    </row>
    <row r="375" spans="2:11">
      <c r="B375" s="356" t="s">
        <v>534</v>
      </c>
      <c r="C375" s="384" t="s">
        <v>213</v>
      </c>
      <c r="D375" s="384" t="s">
        <v>546</v>
      </c>
      <c r="E375" s="370" t="s">
        <v>1399</v>
      </c>
      <c r="F375" s="379" t="s">
        <v>1701</v>
      </c>
      <c r="G375" s="380" t="s">
        <v>2018</v>
      </c>
      <c r="H375" s="379" t="s">
        <v>2346</v>
      </c>
      <c r="I375" s="388" t="s">
        <v>2966</v>
      </c>
      <c r="J375" s="384" t="s">
        <v>2645</v>
      </c>
      <c r="K375" s="29"/>
    </row>
    <row r="376" spans="2:11">
      <c r="B376" s="356" t="s">
        <v>535</v>
      </c>
      <c r="C376" s="384" t="s">
        <v>214</v>
      </c>
      <c r="D376" s="384" t="s">
        <v>547</v>
      </c>
      <c r="E376" s="370" t="s">
        <v>1400</v>
      </c>
      <c r="F376" s="379" t="s">
        <v>1702</v>
      </c>
      <c r="G376" s="380" t="s">
        <v>2019</v>
      </c>
      <c r="H376" s="379" t="s">
        <v>2347</v>
      </c>
      <c r="I376" s="388" t="s">
        <v>2967</v>
      </c>
      <c r="J376" s="384" t="s">
        <v>2646</v>
      </c>
      <c r="K376" s="29"/>
    </row>
    <row r="377" spans="2:11">
      <c r="B377" s="356" t="s">
        <v>536</v>
      </c>
      <c r="C377" s="384" t="s">
        <v>215</v>
      </c>
      <c r="D377" s="384" t="s">
        <v>549</v>
      </c>
      <c r="E377" s="370" t="s">
        <v>1401</v>
      </c>
      <c r="F377" s="379" t="s">
        <v>1703</v>
      </c>
      <c r="G377" s="380" t="s">
        <v>2020</v>
      </c>
      <c r="H377" s="379" t="s">
        <v>2348</v>
      </c>
      <c r="I377" s="388" t="s">
        <v>2968</v>
      </c>
      <c r="J377" s="384" t="s">
        <v>2647</v>
      </c>
      <c r="K377" s="29"/>
    </row>
    <row r="378" spans="2:11">
      <c r="B378" s="356" t="s">
        <v>537</v>
      </c>
      <c r="C378" s="384" t="s">
        <v>216</v>
      </c>
      <c r="D378" s="384" t="s">
        <v>548</v>
      </c>
      <c r="E378" s="370" t="s">
        <v>1402</v>
      </c>
      <c r="F378" s="379" t="s">
        <v>1704</v>
      </c>
      <c r="G378" s="380" t="s">
        <v>2021</v>
      </c>
      <c r="H378" s="379" t="s">
        <v>2349</v>
      </c>
      <c r="I378" s="388" t="s">
        <v>2969</v>
      </c>
      <c r="J378" s="384" t="s">
        <v>2648</v>
      </c>
      <c r="K378" s="29"/>
    </row>
    <row r="379" spans="2:11">
      <c r="B379" s="356" t="s">
        <v>538</v>
      </c>
      <c r="C379" s="384" t="s">
        <v>217</v>
      </c>
      <c r="D379" s="384" t="s">
        <v>550</v>
      </c>
      <c r="E379" s="370" t="s">
        <v>1403</v>
      </c>
      <c r="F379" s="379" t="s">
        <v>1705</v>
      </c>
      <c r="G379" s="380" t="s">
        <v>2022</v>
      </c>
      <c r="H379" s="379" t="s">
        <v>2350</v>
      </c>
      <c r="I379" s="388" t="s">
        <v>2970</v>
      </c>
      <c r="J379" s="384" t="s">
        <v>217</v>
      </c>
      <c r="K379" s="29"/>
    </row>
    <row r="380" spans="2:11">
      <c r="B380" s="356" t="s">
        <v>539</v>
      </c>
      <c r="C380" s="384" t="s">
        <v>339</v>
      </c>
      <c r="D380" s="384" t="s">
        <v>551</v>
      </c>
      <c r="E380" s="370" t="s">
        <v>1404</v>
      </c>
      <c r="F380" s="379" t="s">
        <v>1706</v>
      </c>
      <c r="G380" s="380" t="s">
        <v>2023</v>
      </c>
      <c r="H380" s="379" t="s">
        <v>2351</v>
      </c>
      <c r="I380" s="388" t="s">
        <v>2971</v>
      </c>
      <c r="J380" s="384" t="s">
        <v>2649</v>
      </c>
      <c r="K380" s="29"/>
    </row>
    <row r="381" spans="2:11">
      <c r="B381" s="356" t="s">
        <v>540</v>
      </c>
      <c r="C381" s="384" t="s">
        <v>340</v>
      </c>
      <c r="D381" s="384" t="s">
        <v>552</v>
      </c>
      <c r="E381" s="370" t="s">
        <v>1405</v>
      </c>
      <c r="F381" s="379" t="s">
        <v>1707</v>
      </c>
      <c r="G381" s="380" t="s">
        <v>2024</v>
      </c>
      <c r="H381" s="379" t="s">
        <v>2352</v>
      </c>
      <c r="I381" s="388" t="s">
        <v>2972</v>
      </c>
      <c r="J381" s="384" t="s">
        <v>2650</v>
      </c>
      <c r="K381" s="29"/>
    </row>
    <row r="382" spans="2:11" s="378" customFormat="1" ht="30">
      <c r="B382" s="374" t="s">
        <v>541</v>
      </c>
      <c r="C382" s="384" t="s">
        <v>341</v>
      </c>
      <c r="D382" s="384" t="s">
        <v>553</v>
      </c>
      <c r="E382" s="370" t="s">
        <v>1406</v>
      </c>
      <c r="F382" s="370" t="s">
        <v>1708</v>
      </c>
      <c r="G382" s="380" t="s">
        <v>2025</v>
      </c>
      <c r="H382" s="378" t="s">
        <v>2353</v>
      </c>
      <c r="I382" s="383" t="s">
        <v>2973</v>
      </c>
      <c r="J382" s="384" t="s">
        <v>2993</v>
      </c>
      <c r="K382" s="371"/>
    </row>
    <row r="383" spans="2:11">
      <c r="B383" s="356" t="s">
        <v>542</v>
      </c>
      <c r="C383" s="384" t="s">
        <v>342</v>
      </c>
      <c r="D383" s="384" t="s">
        <v>554</v>
      </c>
      <c r="E383" s="370" t="s">
        <v>1407</v>
      </c>
      <c r="F383" s="379" t="s">
        <v>1709</v>
      </c>
      <c r="G383" s="380" t="s">
        <v>2026</v>
      </c>
      <c r="H383" s="379" t="s">
        <v>2354</v>
      </c>
      <c r="I383" s="388" t="s">
        <v>2974</v>
      </c>
      <c r="J383" s="384" t="s">
        <v>2651</v>
      </c>
      <c r="K383" s="29"/>
    </row>
    <row r="384" spans="2:11">
      <c r="B384" s="356" t="s">
        <v>543</v>
      </c>
      <c r="C384" s="384" t="s">
        <v>343</v>
      </c>
      <c r="D384" s="384" t="s">
        <v>555</v>
      </c>
      <c r="E384" s="370" t="s">
        <v>1408</v>
      </c>
      <c r="F384" s="379" t="s">
        <v>1710</v>
      </c>
      <c r="G384" s="380" t="s">
        <v>2027</v>
      </c>
      <c r="H384" s="379" t="s">
        <v>2355</v>
      </c>
      <c r="I384" s="388" t="s">
        <v>2975</v>
      </c>
      <c r="J384" s="384" t="s">
        <v>2652</v>
      </c>
      <c r="K384" s="29"/>
    </row>
    <row r="385" spans="2:11">
      <c r="B385" s="356" t="s">
        <v>544</v>
      </c>
      <c r="C385" s="384" t="s">
        <v>221</v>
      </c>
      <c r="D385" s="384" t="s">
        <v>556</v>
      </c>
      <c r="E385" s="370" t="s">
        <v>1409</v>
      </c>
      <c r="F385" s="379" t="s">
        <v>1711</v>
      </c>
      <c r="G385" s="380" t="s">
        <v>2028</v>
      </c>
      <c r="H385" s="379" t="s">
        <v>2356</v>
      </c>
      <c r="I385" s="388" t="s">
        <v>2976</v>
      </c>
      <c r="J385" s="384" t="s">
        <v>2653</v>
      </c>
      <c r="K385" s="29"/>
    </row>
    <row r="386" spans="2:11">
      <c r="B386" s="356" t="s">
        <v>545</v>
      </c>
      <c r="C386" s="384" t="s">
        <v>227</v>
      </c>
      <c r="D386" s="384" t="s">
        <v>557</v>
      </c>
      <c r="E386" s="398" t="s">
        <v>1410</v>
      </c>
      <c r="F386" s="379" t="s">
        <v>1712</v>
      </c>
      <c r="G386" s="380" t="s">
        <v>2029</v>
      </c>
      <c r="H386" s="379" t="s">
        <v>2357</v>
      </c>
      <c r="I386" s="388" t="s">
        <v>2977</v>
      </c>
      <c r="J386" s="384" t="s">
        <v>2654</v>
      </c>
      <c r="K386" s="29"/>
    </row>
    <row r="387" spans="2:11">
      <c r="B387" s="356" t="s">
        <v>559</v>
      </c>
      <c r="C387" s="397" t="s">
        <v>191</v>
      </c>
      <c r="D387" s="384" t="s">
        <v>577</v>
      </c>
      <c r="E387" s="81" t="s">
        <v>1374</v>
      </c>
      <c r="F387" s="379" t="s">
        <v>1713</v>
      </c>
      <c r="G387" s="380" t="s">
        <v>1996</v>
      </c>
      <c r="H387" s="379" t="s">
        <v>2358</v>
      </c>
      <c r="I387" s="388" t="s">
        <v>2943</v>
      </c>
      <c r="J387" s="397" t="s">
        <v>2631</v>
      </c>
      <c r="K387" s="29"/>
    </row>
    <row r="388" spans="2:11">
      <c r="B388" s="356" t="s">
        <v>564</v>
      </c>
      <c r="C388" s="383" t="s">
        <v>148</v>
      </c>
      <c r="D388" s="384" t="s">
        <v>148</v>
      </c>
      <c r="E388" s="81" t="s">
        <v>148</v>
      </c>
      <c r="F388" s="379" t="s">
        <v>148</v>
      </c>
      <c r="G388" s="383" t="s">
        <v>148</v>
      </c>
      <c r="H388" s="379" t="s">
        <v>2153</v>
      </c>
      <c r="I388" s="388" t="s">
        <v>148</v>
      </c>
      <c r="J388" s="383" t="s">
        <v>148</v>
      </c>
      <c r="K388" s="29"/>
    </row>
    <row r="389" spans="2:11">
      <c r="B389" s="356" t="s">
        <v>565</v>
      </c>
      <c r="C389" s="383" t="s">
        <v>147</v>
      </c>
      <c r="D389" s="384" t="s">
        <v>591</v>
      </c>
      <c r="E389" s="81" t="s">
        <v>147</v>
      </c>
      <c r="F389" s="379" t="s">
        <v>147</v>
      </c>
      <c r="G389" s="383" t="s">
        <v>147</v>
      </c>
      <c r="H389" s="379" t="s">
        <v>2159</v>
      </c>
      <c r="I389" s="388" t="s">
        <v>147</v>
      </c>
      <c r="J389" s="383" t="s">
        <v>147</v>
      </c>
      <c r="K389" s="29"/>
    </row>
    <row r="390" spans="2:11">
      <c r="B390" s="356" t="s">
        <v>566</v>
      </c>
      <c r="C390" s="383" t="s">
        <v>146</v>
      </c>
      <c r="D390" s="384" t="s">
        <v>146</v>
      </c>
      <c r="E390" s="81" t="s">
        <v>146</v>
      </c>
      <c r="F390" s="379" t="s">
        <v>146</v>
      </c>
      <c r="G390" s="383" t="s">
        <v>146</v>
      </c>
      <c r="H390" s="379" t="s">
        <v>146</v>
      </c>
      <c r="I390" s="388" t="s">
        <v>146</v>
      </c>
      <c r="J390" s="383" t="s">
        <v>146</v>
      </c>
      <c r="K390" s="29"/>
    </row>
    <row r="391" spans="2:11">
      <c r="B391" s="356" t="s">
        <v>560</v>
      </c>
      <c r="C391" s="383" t="s">
        <v>75</v>
      </c>
      <c r="D391" s="384" t="s">
        <v>575</v>
      </c>
      <c r="E391" s="81" t="s">
        <v>1411</v>
      </c>
      <c r="F391" s="379" t="s">
        <v>1714</v>
      </c>
      <c r="G391" s="380" t="s">
        <v>2030</v>
      </c>
      <c r="H391" s="379" t="s">
        <v>2359</v>
      </c>
      <c r="I391" s="388" t="s">
        <v>2896</v>
      </c>
      <c r="J391" s="383" t="s">
        <v>2655</v>
      </c>
      <c r="K391" s="29"/>
    </row>
    <row r="392" spans="2:11">
      <c r="B392" s="356" t="s">
        <v>561</v>
      </c>
      <c r="C392" s="383" t="s">
        <v>149</v>
      </c>
      <c r="D392" s="384" t="s">
        <v>576</v>
      </c>
      <c r="E392" s="81" t="s">
        <v>1177</v>
      </c>
      <c r="F392" s="379" t="s">
        <v>1488</v>
      </c>
      <c r="G392" s="380" t="s">
        <v>1792</v>
      </c>
      <c r="H392" s="379" t="s">
        <v>2360</v>
      </c>
      <c r="I392" s="388" t="s">
        <v>2738</v>
      </c>
      <c r="J392" s="383" t="s">
        <v>2434</v>
      </c>
      <c r="K392" s="29"/>
    </row>
    <row r="393" spans="2:11">
      <c r="B393" s="356" t="s">
        <v>567</v>
      </c>
      <c r="C393" s="383" t="s">
        <v>105</v>
      </c>
      <c r="D393" s="384" t="s">
        <v>578</v>
      </c>
      <c r="E393" s="81" t="s">
        <v>1412</v>
      </c>
      <c r="F393" s="379" t="s">
        <v>1715</v>
      </c>
      <c r="G393" s="380" t="s">
        <v>2031</v>
      </c>
      <c r="H393" s="379" t="s">
        <v>2361</v>
      </c>
      <c r="I393" s="388" t="s">
        <v>2978</v>
      </c>
      <c r="J393" s="383" t="s">
        <v>2656</v>
      </c>
      <c r="K393" s="29"/>
    </row>
    <row r="394" spans="2:11">
      <c r="B394" s="356" t="s">
        <v>562</v>
      </c>
      <c r="C394" s="383" t="s">
        <v>220</v>
      </c>
      <c r="D394" s="384" t="s">
        <v>579</v>
      </c>
      <c r="E394" s="81" t="s">
        <v>1413</v>
      </c>
      <c r="F394" s="379" t="s">
        <v>1716</v>
      </c>
      <c r="G394" s="380" t="s">
        <v>2032</v>
      </c>
      <c r="H394" s="379" t="s">
        <v>2362</v>
      </c>
      <c r="I394" s="388" t="s">
        <v>2979</v>
      </c>
      <c r="J394" s="383" t="s">
        <v>2657</v>
      </c>
      <c r="K394" s="29"/>
    </row>
    <row r="395" spans="2:11">
      <c r="B395" s="356" t="s">
        <v>568</v>
      </c>
      <c r="C395" s="383" t="s">
        <v>208</v>
      </c>
      <c r="D395" s="384" t="s">
        <v>580</v>
      </c>
      <c r="E395" s="81" t="s">
        <v>1414</v>
      </c>
      <c r="F395" s="379" t="s">
        <v>1717</v>
      </c>
      <c r="G395" s="380" t="s">
        <v>2033</v>
      </c>
      <c r="H395" s="379" t="s">
        <v>2363</v>
      </c>
      <c r="I395" s="388" t="s">
        <v>2980</v>
      </c>
      <c r="J395" s="383" t="s">
        <v>2658</v>
      </c>
      <c r="K395" s="29"/>
    </row>
    <row r="396" spans="2:11">
      <c r="B396" s="356" t="s">
        <v>569</v>
      </c>
      <c r="C396" s="383" t="s">
        <v>102</v>
      </c>
      <c r="D396" s="384" t="s">
        <v>581</v>
      </c>
      <c r="E396" s="81" t="s">
        <v>1415</v>
      </c>
      <c r="F396" s="379" t="s">
        <v>1718</v>
      </c>
      <c r="G396" s="380" t="s">
        <v>2034</v>
      </c>
      <c r="H396" s="379" t="s">
        <v>2364</v>
      </c>
      <c r="I396" s="388" t="s">
        <v>2981</v>
      </c>
      <c r="J396" s="383" t="s">
        <v>2659</v>
      </c>
      <c r="K396" s="29"/>
    </row>
    <row r="397" spans="2:11">
      <c r="B397" s="356" t="s">
        <v>570</v>
      </c>
      <c r="C397" s="383" t="s">
        <v>111</v>
      </c>
      <c r="D397" s="384" t="s">
        <v>582</v>
      </c>
      <c r="E397" s="81" t="s">
        <v>1416</v>
      </c>
      <c r="F397" s="379" t="s">
        <v>1719</v>
      </c>
      <c r="G397" s="380" t="s">
        <v>2035</v>
      </c>
      <c r="H397" s="379" t="s">
        <v>2365</v>
      </c>
      <c r="I397" s="388" t="s">
        <v>2982</v>
      </c>
      <c r="J397" s="383" t="s">
        <v>2660</v>
      </c>
      <c r="K397" s="29"/>
    </row>
    <row r="398" spans="2:11">
      <c r="B398" s="356" t="s">
        <v>571</v>
      </c>
      <c r="C398" s="383" t="s">
        <v>110</v>
      </c>
      <c r="D398" s="384" t="s">
        <v>583</v>
      </c>
      <c r="E398" s="81" t="s">
        <v>1417</v>
      </c>
      <c r="F398" s="379" t="s">
        <v>1720</v>
      </c>
      <c r="G398" s="380" t="s">
        <v>2036</v>
      </c>
      <c r="H398" s="379" t="s">
        <v>2366</v>
      </c>
      <c r="I398" s="388" t="s">
        <v>2983</v>
      </c>
      <c r="J398" s="383" t="s">
        <v>2661</v>
      </c>
      <c r="K398" s="29"/>
    </row>
    <row r="399" spans="2:11">
      <c r="B399" s="356" t="s">
        <v>563</v>
      </c>
      <c r="C399" s="383" t="s">
        <v>77</v>
      </c>
      <c r="D399" s="384" t="s">
        <v>584</v>
      </c>
      <c r="E399" s="81" t="s">
        <v>1264</v>
      </c>
      <c r="F399" s="379" t="s">
        <v>1574</v>
      </c>
      <c r="G399" s="380" t="s">
        <v>1878</v>
      </c>
      <c r="H399" s="379" t="s">
        <v>2193</v>
      </c>
      <c r="I399" s="388" t="s">
        <v>2984</v>
      </c>
      <c r="J399" s="383" t="s">
        <v>2662</v>
      </c>
      <c r="K399" s="29"/>
    </row>
    <row r="400" spans="2:11">
      <c r="B400" s="356" t="s">
        <v>572</v>
      </c>
      <c r="C400" s="383" t="s">
        <v>558</v>
      </c>
      <c r="D400" s="384" t="s">
        <v>585</v>
      </c>
      <c r="E400" s="81" t="s">
        <v>1418</v>
      </c>
      <c r="F400" s="379" t="s">
        <v>1721</v>
      </c>
      <c r="G400" s="380" t="s">
        <v>2037</v>
      </c>
      <c r="H400" s="379" t="s">
        <v>2367</v>
      </c>
      <c r="I400" s="388" t="s">
        <v>2985</v>
      </c>
      <c r="J400" s="383" t="s">
        <v>2663</v>
      </c>
      <c r="K400" s="29"/>
    </row>
    <row r="401" spans="2:11">
      <c r="B401" s="356" t="s">
        <v>573</v>
      </c>
      <c r="C401" s="383" t="s">
        <v>103</v>
      </c>
      <c r="D401" s="384" t="s">
        <v>586</v>
      </c>
      <c r="E401" s="81" t="s">
        <v>1419</v>
      </c>
      <c r="F401" s="379" t="s">
        <v>1722</v>
      </c>
      <c r="G401" s="380" t="s">
        <v>2038</v>
      </c>
      <c r="H401" s="379" t="s">
        <v>2368</v>
      </c>
      <c r="I401" s="388" t="s">
        <v>2986</v>
      </c>
      <c r="J401" s="383" t="s">
        <v>2659</v>
      </c>
      <c r="K401" s="29"/>
    </row>
    <row r="402" spans="2:11">
      <c r="B402" s="356" t="s">
        <v>574</v>
      </c>
      <c r="C402" s="383" t="s">
        <v>65</v>
      </c>
      <c r="D402" s="384" t="s">
        <v>587</v>
      </c>
      <c r="E402" s="370" t="s">
        <v>1194</v>
      </c>
      <c r="F402" s="379" t="s">
        <v>1505</v>
      </c>
      <c r="G402" s="380" t="s">
        <v>1809</v>
      </c>
      <c r="H402" s="379" t="s">
        <v>2123</v>
      </c>
      <c r="I402" s="388" t="s">
        <v>2987</v>
      </c>
      <c r="J402" s="383" t="s">
        <v>2451</v>
      </c>
      <c r="K402" s="29"/>
    </row>
    <row r="403" spans="2:11">
      <c r="B403" s="356" t="s">
        <v>597</v>
      </c>
      <c r="C403" s="384" t="s">
        <v>218</v>
      </c>
      <c r="D403" s="384" t="s">
        <v>598</v>
      </c>
      <c r="E403" s="370" t="s">
        <v>1420</v>
      </c>
      <c r="F403" s="379" t="s">
        <v>1723</v>
      </c>
      <c r="G403" s="380" t="s">
        <v>2039</v>
      </c>
      <c r="H403" s="379" t="s">
        <v>2369</v>
      </c>
      <c r="I403" s="388" t="s">
        <v>2988</v>
      </c>
      <c r="J403" s="384" t="s">
        <v>2664</v>
      </c>
      <c r="K403" s="29"/>
    </row>
    <row r="404" spans="2:11">
      <c r="B404" s="356" t="s">
        <v>599</v>
      </c>
      <c r="C404" s="384" t="s">
        <v>222</v>
      </c>
      <c r="D404" s="384" t="s">
        <v>600</v>
      </c>
      <c r="E404" s="370" t="s">
        <v>1421</v>
      </c>
      <c r="F404" s="379" t="s">
        <v>222</v>
      </c>
      <c r="G404" s="380" t="s">
        <v>2040</v>
      </c>
      <c r="H404" s="379" t="s">
        <v>222</v>
      </c>
      <c r="I404" s="388" t="s">
        <v>2989</v>
      </c>
      <c r="J404" s="384" t="s">
        <v>222</v>
      </c>
      <c r="K404" s="29"/>
    </row>
    <row r="405" spans="2:11">
      <c r="C405" s="380"/>
      <c r="D405" s="380"/>
      <c r="E405" s="379"/>
      <c r="F405" s="379"/>
      <c r="G405" s="379"/>
      <c r="H405" s="379"/>
      <c r="I405" s="379"/>
      <c r="J405" s="379"/>
      <c r="K405" s="29"/>
    </row>
    <row r="406" spans="2:11">
      <c r="K406" s="29"/>
    </row>
    <row r="407" spans="2:11">
      <c r="K407" s="29"/>
    </row>
    <row r="408" spans="2:11">
      <c r="K408" s="29"/>
    </row>
    <row r="409" spans="2:11">
      <c r="K409" s="29"/>
    </row>
    <row r="410" spans="2:11">
      <c r="K410" s="29"/>
    </row>
    <row r="411" spans="2:11">
      <c r="K411" s="29"/>
    </row>
    <row r="412" spans="2:11">
      <c r="K412" s="29"/>
    </row>
    <row r="413" spans="2:11">
      <c r="K413" s="29"/>
    </row>
    <row r="414" spans="2:11">
      <c r="K414" s="29"/>
    </row>
    <row r="415" spans="2:11">
      <c r="K415" s="29"/>
    </row>
    <row r="416" spans="2:11">
      <c r="K416" s="29"/>
    </row>
    <row r="417" spans="11:11">
      <c r="K417" s="29"/>
    </row>
    <row r="418" spans="11:11">
      <c r="K418" s="29"/>
    </row>
    <row r="419" spans="11:11">
      <c r="K419" s="29"/>
    </row>
    <row r="420" spans="11:11">
      <c r="K420" s="29"/>
    </row>
    <row r="421" spans="11:11">
      <c r="K421" s="29"/>
    </row>
    <row r="422" spans="11:11">
      <c r="K422" s="29"/>
    </row>
    <row r="423" spans="11:11">
      <c r="K423" s="29"/>
    </row>
    <row r="424" spans="11:11">
      <c r="K424" s="29"/>
    </row>
    <row r="425" spans="11:11">
      <c r="K425" s="29"/>
    </row>
    <row r="426" spans="11:11">
      <c r="K426" s="29"/>
    </row>
    <row r="427" spans="11:11">
      <c r="K427" s="29"/>
    </row>
    <row r="428" spans="11:11">
      <c r="K428" s="29"/>
    </row>
    <row r="429" spans="11:11">
      <c r="K429" s="29"/>
    </row>
    <row r="430" spans="11:11">
      <c r="K430" s="29"/>
    </row>
    <row r="431" spans="11:11">
      <c r="K431" s="29"/>
    </row>
    <row r="432" spans="11:11">
      <c r="K432" s="29"/>
    </row>
    <row r="433" spans="11:11">
      <c r="K433" s="29"/>
    </row>
    <row r="434" spans="11:11">
      <c r="K434" s="29"/>
    </row>
    <row r="435" spans="11:11">
      <c r="K435" s="29"/>
    </row>
    <row r="436" spans="11:11">
      <c r="K436" s="29"/>
    </row>
    <row r="437" spans="11:11">
      <c r="K437" s="29"/>
    </row>
    <row r="438" spans="11:11">
      <c r="K438" s="29"/>
    </row>
    <row r="439" spans="11:11">
      <c r="K439" s="29"/>
    </row>
    <row r="440" spans="11:11">
      <c r="K440" s="29"/>
    </row>
    <row r="441" spans="11:11">
      <c r="K441" s="29"/>
    </row>
    <row r="442" spans="11:11">
      <c r="K442" s="29"/>
    </row>
  </sheetData>
  <mergeCells count="1">
    <mergeCell ref="B6:K6"/>
  </mergeCells>
  <pageMargins left="0.7" right="0.7" top="0.78740157499999996" bottom="0.78740157499999996" header="0.3" footer="0.3"/>
  <pageSetup paperSize="9" scale="28" orientation="landscape" r:id="rId1"/>
  <rowBreaks count="1" manualBreakCount="1">
    <brk id="72" max="9" man="1"/>
  </rowBreaks>
  <colBreaks count="1" manualBreakCount="1">
    <brk id="4" max="17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499984740745262"/>
  </sheetPr>
  <dimension ref="B2:E9"/>
  <sheetViews>
    <sheetView workbookViewId="0"/>
  </sheetViews>
  <sheetFormatPr baseColWidth="10" defaultColWidth="12.5703125" defaultRowHeight="15"/>
  <cols>
    <col min="1" max="1" width="4.140625" style="3" customWidth="1"/>
    <col min="2" max="2" width="15.7109375" style="3" customWidth="1"/>
    <col min="3" max="3" width="10.7109375" style="3" customWidth="1"/>
    <col min="4" max="4" width="60.7109375" style="3" customWidth="1"/>
    <col min="5" max="5" width="15.7109375" style="3" customWidth="1"/>
    <col min="6" max="16384" width="12.5703125" style="3"/>
  </cols>
  <sheetData>
    <row r="2" spans="2:5" ht="18.75">
      <c r="B2" s="1" t="str">
        <f>VLOOKUP("General_Header",Hidden_Translations!$B$11:$J$1187,Hidden_Translations!$C$8,FALSE)</f>
        <v>Improving Cold Chain Energy Efficiency (ICCEE project)</v>
      </c>
      <c r="C2" s="2"/>
      <c r="D2" s="2"/>
      <c r="E2" s="2"/>
    </row>
    <row r="4" spans="2:5" ht="18.75">
      <c r="B4" s="4" t="str">
        <f>VLOOKUP("Versions_Header",Hidden_Translations!$B$11:$J$1187,Hidden_Translations!$C$8,FALSE)</f>
        <v>#2: Life Cycle Assessment: Versions</v>
      </c>
      <c r="C4" s="5"/>
      <c r="D4" s="5"/>
      <c r="E4" s="5"/>
    </row>
    <row r="6" spans="2:5">
      <c r="B6" s="30" t="str">
        <f>VLOOKUP("Versions_Header_Text",Hidden_Translations!$B$11:$J$1187,Hidden_Translations!$C$8,FALSE)</f>
        <v>Version history</v>
      </c>
    </row>
    <row r="8" spans="2:5">
      <c r="B8" s="10" t="str">
        <f>VLOOKUP("Versions_Table_Heading_Date",Hidden_Translations!$B$11:$J$1189,Hidden_Translations!$C$8,FALSE)</f>
        <v>Date</v>
      </c>
      <c r="C8" s="10" t="str">
        <f>VLOOKUP("Versions_Table_Heading_Version",Hidden_Translations!$B$11:$J$1189,Hidden_Translations!$C$8,FALSE)</f>
        <v>Version</v>
      </c>
      <c r="D8" s="10" t="str">
        <f>VLOOKUP("Versions_Table_Heading_Change",Hidden_Translations!$B$11:$J$1189,Hidden_Translations!$C$8,FALSE)</f>
        <v>Change</v>
      </c>
      <c r="E8" s="35" t="str">
        <f>VLOOKUP("Versions_Table_Heading_Changeby",Hidden_Translations!$B$11:$J$1189,Hidden_Translations!$C$8,FALSE)</f>
        <v>Change by</v>
      </c>
    </row>
    <row r="9" spans="2:5">
      <c r="B9" s="392">
        <v>44316</v>
      </c>
      <c r="C9" s="393" t="s">
        <v>2990</v>
      </c>
      <c r="D9" s="394" t="s">
        <v>2991</v>
      </c>
      <c r="E9" s="395" t="s">
        <v>2992</v>
      </c>
    </row>
  </sheetData>
  <sheetProtection selectLockedCells="1"/>
  <pageMargins left="0.7" right="0.7" top="0.78740157499999996" bottom="0.78740157499999996"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Info</vt:lpstr>
      <vt:lpstr>Input</vt:lpstr>
      <vt:lpstr>What if</vt:lpstr>
      <vt:lpstr>Results</vt:lpstr>
      <vt:lpstr>Hidden_Calculation</vt:lpstr>
      <vt:lpstr>Hidden_Lists</vt:lpstr>
      <vt:lpstr>Hidden_Translations</vt:lpstr>
      <vt:lpstr>Hidden_Versions</vt:lpstr>
      <vt:lpstr>Hidden_Calculation!Druckbereich</vt:lpstr>
      <vt:lpstr>Hidden_Database!Druckbereich</vt:lpstr>
      <vt:lpstr>Hidden_Translations!Druckbereich</vt:lpstr>
      <vt:lpstr>Info!Druckbereich</vt:lpstr>
      <vt:lpstr>Input!Druckbereich</vt:lpstr>
      <vt:lpstr>Results!Druckbereich</vt:lpstr>
      <vt:lpstr>'What if'!Druckbereich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Leopoldus</dc:creator>
  <cp:lastModifiedBy>Neusel, Lisa</cp:lastModifiedBy>
  <cp:lastPrinted>2021-04-27T07:44:17Z</cp:lastPrinted>
  <dcterms:created xsi:type="dcterms:W3CDTF">2020-05-14T08:48:26Z</dcterms:created>
  <dcterms:modified xsi:type="dcterms:W3CDTF">2021-04-28T10:54:37Z</dcterms:modified>
</cp:coreProperties>
</file>